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rogerscorp-my.sharepoint.com/personal/bill_miles_rogerscorporation_com/Documents/Documents/"/>
    </mc:Choice>
  </mc:AlternateContent>
  <xr:revisionPtr revIDLastSave="0" documentId="13_ncr:1_{254C46A3-66AE-4BAD-8B99-C6C617EAE3D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V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V45" i="5"/>
  <c r="S45" i="5"/>
  <c r="T45" i="5"/>
  <c r="B46" i="5"/>
  <c r="V46" i="5"/>
  <c r="J46" i="5"/>
  <c r="E46" i="5"/>
  <c r="S46" i="5"/>
  <c r="T46" i="5"/>
  <c r="B47" i="5"/>
  <c r="C47" i="5"/>
  <c r="V47" i="5"/>
  <c r="J47" i="5"/>
  <c r="E47" i="5"/>
  <c r="S47" i="5"/>
  <c r="T47" i="5"/>
  <c r="B48" i="5"/>
  <c r="C48" i="5"/>
  <c r="V48" i="5"/>
  <c r="J48" i="5"/>
  <c r="E48" i="5"/>
  <c r="S48" i="5"/>
  <c r="T48" i="5"/>
  <c r="B49" i="5"/>
  <c r="C49" i="5"/>
  <c r="V49" i="5"/>
  <c r="J49" i="5"/>
  <c r="E49" i="5"/>
  <c r="S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1" i="5"/>
  <c r="G42" i="5"/>
  <c r="G43" i="5"/>
  <c r="G44"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F41" i="5"/>
  <c r="F42" i="5"/>
  <c r="AB42" i="5"/>
  <c r="I44" i="5"/>
  <c r="F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1" i="5"/>
  <c r="AB45" i="5"/>
  <c r="H48" i="5"/>
  <c r="F48"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<sst xmlns="http://schemas.openxmlformats.org/spreadsheetml/2006/main" count="22397" uniqueCount="15818">
  <si>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</si>
  <si>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</si>
  <si>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</si>
  <si>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</si>
  <si>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</si>
  <si>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</si>
  <si>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</si>
  <si>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</si>
  <si>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</si>
  <si>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</si>
  <si>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</si>
  <si>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</si>
  <si>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</si>
  <si>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</si>
  <si>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</si>
  <si>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</si>
  <si>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</si>
  <si>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</si>
  <si>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</si>
  <si>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</si>
  <si>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</si>
  <si>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</si>
  <si>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</si>
  <si>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</si>
  <si>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</si>
  <si>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</si>
  <si>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</si>
  <si>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</si>
  <si>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</si>
  <si>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</si>
  <si>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</si>
  <si>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</si>
  <si>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</si>
  <si>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</si>
  <si>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</si>
  <si>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</si>
  <si>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</si>
  <si>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</si>
  <si>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</si>
  <si>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</si>
  <si>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</si>
  <si>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</si>
  <si>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</si>
  <si>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</si>
  <si>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</si>
  <si>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</si>
  <si>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</si>
  <si>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</si>
  <si>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</si>
  <si>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</si>
  <si>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</si>
  <si>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</si>
  <si>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</si>
  <si>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</si>
  <si>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</si>
  <si>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</si>
  <si>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</si>
  <si>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</si>
  <si>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</si>
  <si>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</si>
  <si>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</si>
  <si>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</si>
  <si>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</si>
  <si>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</si>
  <si>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</si>
  <si>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</si>
  <si>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</si>
  <si>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</si>
  <si>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</si>
  <si>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</si>
  <si>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</si>
  <si>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</si>
  <si>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</si>
  <si>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</si>
  <si>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</si>
  <si>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</si>
  <si>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</si>
  <si>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</si>
  <si>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</si>
  <si>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</si>
  <si>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</si>
  <si>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</si>
  <si>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</si>
  <si>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</si>
  <si>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</si>
  <si>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</si>
  <si>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</si>
  <si>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</si>
  <si>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</si>
  <si>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</si>
  <si>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</si>
  <si>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</si>
  <si>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</si>
  <si>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</si>
  <si>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</si>
  <si>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</si>
  <si>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</si>
  <si>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</si>
  <si>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</si>
  <si>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</si>
  <si>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</si>
  <si>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</si>
  <si>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</si>
  <si>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</si>
  <si>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</si>
  <si>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</si>
  <si>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</si>
  <si>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</si>
  <si>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</si>
  <si>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</si>
  <si>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</si>
  <si>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</si>
  <si>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</si>
  <si>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</si>
  <si>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</si>
  <si>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</si>
  <si>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</si>
  <si>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</si>
  <si>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</si>
  <si>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</si>
  <si>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</si>
  <si>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</si>
  <si>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</si>
  <si>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</si>
  <si>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</si>
  <si>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</si>
  <si>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</si>
  <si>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</si>
  <si>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</si>
  <si>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</si>
  <si>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</si>
  <si>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</si>
  <si>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</si>
  <si>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</si>
  <si>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</si>
  <si>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</si>
  <si>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</si>
  <si>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</si>
  <si>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</si>
  <si>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</si>
  <si>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</si>
  <si>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</si>
  <si>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</si>
  <si>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</si>
  <si>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</si>
  <si>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</si>
  <si>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</si>
  <si>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</si>
  <si>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</si>
  <si>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</si>
  <si>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</si>
  <si>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</si>
  <si>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</si>
  <si>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</si>
  <si>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</si>
  <si>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</si>
  <si>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</si>
  <si>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</si>
  <si>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</si>
  <si>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</si>
  <si>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</si>
  <si>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</si>
  <si>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</si>
  <si>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</si>
  <si>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</si>
  <si>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</si>
  <si>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</si>
  <si>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</si>
  <si>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</si>
  <si>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</si>
  <si>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</si>
  <si>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</si>
  <si>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</si>
  <si>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</si>
  <si>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</si>
  <si>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</si>
  <si>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</si>
  <si>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</si>
  <si>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</si>
  <si>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</si>
  <si>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</si>
  <si>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</si>
  <si>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</si>
  <si>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</si>
  <si>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</si>
  <si>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</si>
  <si>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</si>
  <si>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</si>
  <si>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</si>
  <si>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</si>
  <si>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</si>
  <si>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</si>
  <si>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</si>
  <si>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</si>
  <si>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</si>
  <si>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</si>
  <si>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</si>
  <si>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</si>
  <si>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</si>
  <si>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</si>
  <si>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</si>
  <si>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</si>
  <si>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</si>
  <si>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</si>
  <si>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</si>
  <si>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</si>
  <si>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</si>
  <si>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</si>
  <si>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</si>
  <si>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</si>
  <si>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</si>
  <si>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</si>
  <si>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</si>
  <si>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</si>
  <si>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</si>
  <si>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</si>
  <si>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</si>
  <si>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</si>
  <si>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</si>
  <si>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</si>
  <si>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</si>
  <si>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</si>
  <si>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</si>
  <si>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</si>
  <si>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</si>
  <si>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</si>
  <si>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</si>
  <si>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</si>
  <si>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</si>
  <si>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</si>
  <si>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</si>
  <si>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</si>
  <si>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</si>
  <si>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</si>
  <si>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</si>
  <si>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</si>
  <si>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</si>
  <si>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</si>
  <si>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</si>
  <si>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</si>
  <si>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</si>
  <si>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</si>
  <si>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</si>
  <si>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</si>
  <si>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</si>
  <si>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</si>
  <si>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</si>
  <si>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</si>
  <si>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</si>
  <si>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</si>
  <si>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</si>
  <si>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</si>
  <si>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</si>
  <si>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</si>
  <si>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</si>
  <si>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</si>
  <si>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</si>
  <si>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</si>
  <si>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</si>
  <si>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</si>
  <si>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</si>
  <si>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</si>
  <si>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</si>
  <si>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</si>
  <si>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</si>
  <si>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</si>
  <si>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</si>
  <si>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</si>
  <si>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</si>
  <si>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</si>
  <si>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</si>
  <si>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</si>
  <si>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</si>
  <si>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</si>
  <si>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</si>
  <si>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</si>
  <si>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</si>
  <si>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</si>
  <si>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</si>
  <si>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</si>
  <si>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</si>
  <si>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</si>
  <si>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</si>
  <si>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</si>
  <si>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</si>
  <si>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</si>
  <si>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</si>
  <si>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</si>
  <si>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</si>
  <si>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</si>
  <si>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</si>
  <si>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</si>
  <si>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</si>
  <si>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</si>
  <si>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</si>
  <si>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</si>
  <si>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</si>
  <si>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</si>
  <si>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</si>
  <si>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</si>
  <si>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</si>
  <si>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</si>
  <si>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</si>
  <si>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</si>
  <si>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</si>
  <si>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</si>
  <si>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</si>
  <si>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</si>
  <si>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</si>
  <si>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</si>
  <si>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</si>
  <si>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</si>
  <si>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</si>
  <si>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</si>
  <si>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</si>
  <si>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</si>
  <si>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</si>
  <si>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</si>
  <si>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</si>
  <si>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</si>
  <si>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</si>
  <si>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</si>
  <si>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</si>
  <si>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</si>
  <si>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</si>
  <si>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</si>
  <si>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</si>
  <si>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</si>
  <si>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</si>
  <si>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</si>
  <si>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</si>
  <si>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</si>
  <si>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</si>
  <si>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</si>
  <si>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</si>
  <si>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</si>
  <si>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</si>
  <si>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</si>
  <si>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</si>
  <si>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</si>
  <si>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</si>
  <si>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</si>
  <si>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</si>
  <si>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</si>
  <si>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</si>
  <si>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</si>
  <si>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</si>
  <si>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</si>
  <si>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</si>
  <si>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</si>
  <si>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</si>
  <si>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</si>
  <si>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</si>
  <si>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</si>
  <si>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</si>
  <si>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</si>
  <si>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</si>
  <si>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</si>
  <si>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</si>
  <si>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</si>
  <si>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</si>
  <si>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</si>
  <si>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</si>
  <si>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</si>
  <si>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</si>
  <si>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</si>
  <si>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</si>
  <si>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</si>
  <si>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</si>
  <si>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</si>
  <si>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</si>
  <si>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</si>
  <si>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</si>
  <si>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</si>
  <si>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</si>
  <si>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</si>
  <si>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</si>
  <si>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</si>
  <si>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</si>
  <si>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</si>
  <si>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</si>
  <si>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</si>
  <si>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</si>
  <si>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</si>
  <si>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</si>
  <si>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</si>
  <si>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</si>
  <si>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</si>
  <si>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</si>
  <si>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</si>
  <si>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</si>
  <si>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</si>
  <si>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</si>
  <si>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</si>
  <si>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</si>
  <si>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</si>
  <si>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</si>
  <si>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</si>
  <si>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</si>
  <si>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</si>
  <si>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</si>
  <si>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</si>
  <si>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</si>
  <si>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</si>
  <si>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</si>
  <si>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</si>
  <si>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</si>
  <si>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</si>
  <si>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</si>
  <si>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</si>
  <si>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</si>
  <si>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</si>
  <si>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</si>
  <si>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</si>
  <si>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</si>
  <si>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</si>
  <si>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</si>
  <si>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</si>
  <si>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</si>
  <si>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</si>
  <si>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</si>
  <si>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</si>
  <si>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</si>
  <si>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</si>
  <si>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</si>
  <si>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</si>
  <si>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</si>
  <si>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</si>
  <si>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</si>
  <si>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</si>
  <si>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</si>
  <si>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</si>
  <si>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</si>
  <si>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</si>
  <si>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</si>
  <si>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</si>
  <si>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</si>
  <si>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</si>
  <si>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</si>
  <si>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</si>
  <si>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</si>
  <si>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</si>
  <si>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</si>
  <si>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</si>
  <si>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</si>
  <si>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</si>
  <si>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</si>
  <si>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</si>
  <si>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</si>
  <si>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</si>
  <si>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</si>
  <si>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</si>
  <si>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</si>
  <si>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</si>
  <si>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</si>
  <si>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</si>
  <si>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</si>
  <si>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</si>
  <si>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</si>
  <si>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</si>
  <si>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</si>
  <si>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</si>
  <si>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</si>
  <si>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</si>
  <si>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</si>
  <si>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</si>
  <si>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</si>
  <si>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</si>
  <si>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</si>
  <si>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</si>
  <si>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</si>
  <si>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</si>
  <si>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</si>
  <si>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</si>
  <si>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</si>
  <si>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</si>
  <si>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</si>
  <si>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</si>
  <si>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</si>
  <si>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</si>
  <si>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</si>
  <si>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</si>
  <si>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</si>
  <si>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</si>
  <si>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</si>
  <si>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</si>
  <si>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</si>
  <si>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</si>
  <si>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</si>
  <si>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</si>
  <si>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</si>
  <si>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</si>
  <si>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</si>
  <si>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</si>
  <si>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</si>
  <si>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</si>
  <si>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</si>
  <si>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</si>
  <si>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</si>
  <si>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</si>
  <si>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</si>
  <si>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</si>
  <si>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</si>
  <si>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</si>
  <si>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</si>
  <si>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</si>
  <si>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</si>
  <si>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</si>
  <si>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</si>
  <si>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</si>
  <si>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</si>
  <si>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</si>
  <si>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</si>
  <si>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</si>
  <si>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</si>
  <si>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</si>
  <si>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</si>
  <si>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</si>
  <si>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</si>
  <si>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</si>
  <si>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</si>
  <si>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</si>
  <si>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</si>
  <si>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</si>
  <si>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</si>
  <si>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</si>
  <si>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</si>
  <si>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</si>
  <si>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</si>
  <si>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</si>
  <si>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</si>
  <si>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</si>
  <si>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</si>
  <si>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</si>
  <si>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</si>
  <si>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</si>
  <si>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</si>
  <si>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</si>
  <si>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</si>
  <si>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</si>
  <si>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</si>
  <si>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</si>
  <si>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</si>
  <si>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</si>
  <si>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</si>
  <si>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</si>
  <si>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</si>
  <si>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</si>
  <si>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</si>
  <si>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</si>
  <si>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</si>
  <si>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</si>
  <si>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</si>
  <si>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</si>
  <si>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</si>
  <si>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</si>
  <si>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</si>
  <si>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</si>
  <si>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</si>
  <si>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</si>
  <si>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</si>
  <si>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</si>
  <si>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</si>
  <si>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</si>
  <si>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</si>
  <si>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</si>
  <si>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</si>
  <si>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</si>
  <si>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</si>
  <si>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</si>
  <si>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</si>
  <si>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</si>
  <si>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</si>
  <si>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</si>
  <si>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</si>
  <si>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</si>
  <si>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</si>
  <si>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</si>
  <si>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</si>
  <si>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</si>
  <si>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</si>
  <si>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</si>
  <si>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</si>
  <si>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</si>
  <si>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</si>
  <si>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</si>
  <si>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</si>
  <si>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</si>
  <si>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</si>
  <si>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</si>
  <si>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</si>
  <si>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</si>
  <si>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</si>
  <si>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</si>
  <si>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</si>
  <si>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</si>
  <si>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</si>
  <si>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</si>
  <si>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</si>
  <si>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</si>
  <si>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</si>
  <si>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</si>
  <si>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</si>
  <si>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</si>
  <si>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</si>
  <si>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</si>
  <si>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</si>
  <si>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</si>
  <si>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</si>
  <si>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</si>
  <si>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</si>
  <si>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</si>
  <si>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</si>
  <si>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</si>
  <si>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</si>
  <si>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</si>
  <si>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</si>
  <si>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</si>
  <si>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</si>
  <si>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</si>
  <si>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</si>
  <si>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</si>
  <si>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</si>
  <si>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</si>
  <si>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</si>
  <si>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</si>
  <si>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</si>
  <si>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</si>
  <si>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</si>
  <si>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</si>
  <si>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</si>
  <si>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</si>
  <si>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</si>
  <si>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</si>
  <si>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</si>
  <si>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</si>
  <si>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</si>
  <si>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</si>
  <si>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</si>
  <si>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</si>
  <si>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</si>
  <si>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</si>
  <si>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</si>
  <si>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</si>
  <si>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</si>
  <si>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</si>
  <si>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</si>
  <si>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</si>
  <si>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</si>
  <si>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</si>
  <si>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</si>
  <si>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</si>
  <si>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</si>
  <si>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</si>
  <si>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</si>
  <si>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</si>
  <si>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</si>
  <si>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</si>
  <si>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</si>
  <si>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</si>
  <si>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</si>
  <si>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</si>
  <si>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</si>
  <si>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</si>
  <si>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</si>
  <si>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</si>
  <si>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</si>
  <si>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</si>
  <si>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</si>
  <si>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</si>
  <si>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</si>
  <si>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</si>
  <si>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</si>
  <si>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</si>
  <si>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</si>
  <si>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</si>
  <si>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</si>
  <si>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</si>
  <si>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</si>
  <si>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</si>
  <si>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</si>
  <si>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</si>
  <si>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</si>
  <si>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</si>
  <si>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</si>
  <si>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</si>
  <si>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</si>
  <si>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</si>
  <si>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</si>
  <si>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</si>
  <si>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</si>
  <si>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</si>
  <si>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</si>
  <si>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</si>
  <si>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</si>
  <si>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</si>
  <si>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</si>
  <si>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</si>
  <si>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</si>
  <si>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</si>
  <si>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</si>
  <si>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</si>
  <si>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</si>
  <si>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</si>
  <si>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</si>
  <si>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</si>
  <si>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</si>
  <si>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</si>
  <si>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</si>
  <si>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</si>
  <si>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</si>
  <si>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</si>
  <si>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</si>
  <si>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</si>
  <si>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</si>
  <si>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</si>
  <si>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</si>
  <si>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</si>
  <si>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</si>
  <si>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</si>
  <si>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</si>
  <si>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</si>
  <si>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</si>
  <si>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</si>
  <si>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</si>
  <si>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</si>
  <si>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</si>
  <si>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</si>
  <si>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</si>
  <si>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</si>
  <si>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</si>
  <si>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</si>
  <si>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</si>
  <si>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</si>
  <si>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</si>
  <si>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</si>
  <si>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</si>
  <si>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</si>
  <si>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</si>
  <si>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</si>
  <si>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</si>
  <si>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</si>
  <si>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</si>
  <si>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</si>
  <si>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</si>
  <si>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</si>
  <si>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</si>
  <si>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</si>
  <si>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</si>
  <si>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</si>
  <si>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</si>
  <si>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</si>
  <si>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</si>
  <si>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</si>
  <si>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</si>
  <si>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</si>
  <si>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</si>
  <si>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</si>
  <si>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</si>
  <si>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</si>
  <si>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</si>
  <si>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</si>
  <si>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</si>
  <si>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</si>
  <si>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</si>
  <si>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</si>
  <si>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</si>
  <si>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</si>
  <si>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</si>
  <si>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</si>
  <si>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</si>
  <si>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</si>
  <si>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</si>
  <si>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</si>
  <si>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</si>
  <si>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</si>
  <si>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</si>
  <si>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</si>
  <si>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</si>
  <si>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</si>
  <si>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</si>
  <si>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</si>
  <si>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</si>
  <si>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</si>
  <si>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</si>
  <si>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</si>
  <si>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</si>
  <si>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</si>
  <si>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</si>
  <si>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</si>
  <si>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</si>
  <si>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</si>
  <si>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</si>
  <si>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</si>
  <si>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</si>
  <si>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</si>
  <si>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</si>
  <si>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</si>
  <si>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</si>
  <si>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</si>
  <si>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</si>
  <si>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</si>
  <si>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</si>
  <si>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</si>
  <si>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</si>
  <si>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</si>
  <si>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</si>
  <si>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</si>
  <si>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</si>
  <si>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</si>
  <si>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</si>
  <si>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</si>
  <si>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</si>
  <si>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</si>
  <si>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</si>
  <si>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</si>
  <si>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</si>
  <si>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</si>
  <si>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</si>
  <si>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</si>
  <si>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</si>
  <si>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</si>
  <si>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</si>
  <si>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</si>
  <si>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</si>
  <si>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</si>
  <si>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</si>
  <si>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</si>
  <si>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</si>
  <si>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</si>
  <si>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</si>
  <si>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</si>
  <si>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</si>
  <si>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</si>
  <si>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</si>
  <si>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</si>
  <si>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</si>
  <si>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</si>
  <si>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</si>
  <si>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</si>
  <si>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</si>
  <si>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</si>
  <si>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</si>
  <si>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</si>
  <si>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</si>
  <si>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</si>
  <si>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</si>
  <si>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</si>
  <si>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</si>
  <si>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</si>
  <si>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</si>
  <si>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</si>
  <si>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</si>
  <si>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</si>
  <si>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</si>
  <si>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</si>
  <si>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</si>
  <si>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</si>
  <si>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</si>
  <si>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</si>
  <si>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</si>
  <si>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</si>
  <si>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</si>
  <si>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</si>
  <si>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</si>
  <si>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</si>
  <si>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</si>
  <si>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</si>
  <si>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</si>
  <si>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</si>
  <si>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</si>
  <si>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</si>
  <si>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</si>
  <si>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</si>
  <si>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</si>
  <si>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</si>
  <si>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</si>
  <si>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</si>
  <si>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</si>
  <si>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</si>
  <si>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</si>
  <si>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</si>
  <si>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</si>
  <si>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</si>
  <si>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</si>
  <si>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</si>
  <si>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</si>
  <si>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</si>
  <si>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</si>
  <si>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</si>
  <si>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</si>
  <si>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</si>
  <si>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</si>
  <si>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</si>
  <si>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</si>
  <si>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</si>
  <si>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</si>
  <si>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</si>
  <si>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</si>
  <si>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</si>
  <si>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</si>
  <si>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</si>
  <si>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</si>
  <si>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</si>
  <si>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</si>
  <si>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</si>
  <si>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</si>
  <si>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</si>
  <si>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</si>
  <si>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</si>
  <si>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</si>
  <si>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</si>
  <si>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</si>
  <si>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</si>
  <si>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</si>
  <si>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</si>
  <si>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</si>
  <si>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</si>
  <si>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</si>
  <si>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</si>
  <si>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</si>
  <si>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</si>
  <si>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</si>
  <si>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</si>
  <si>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</si>
  <si>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</si>
  <si>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</si>
  <si>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</si>
  <si>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</si>
  <si>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</si>
  <si>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</si>
  <si>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</si>
  <si>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</si>
  <si>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</si>
  <si>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</si>
  <si>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</si>
  <si>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</si>
  <si>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</si>
  <si>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</si>
  <si>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</si>
  <si>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</si>
  <si>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</si>
  <si>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</si>
  <si>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</si>
  <si>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</si>
  <si>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</si>
  <si>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</si>
  <si>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</si>
  <si>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</si>
  <si>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</si>
  <si>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</si>
  <si>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</si>
  <si>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</si>
  <si>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</si>
  <si>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</si>
  <si>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</si>
  <si>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</si>
  <si>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</si>
  <si>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</si>
  <si>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</si>
  <si>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</si>
  <si>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</si>
  <si>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</si>
  <si>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</si>
  <si>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</si>
  <si>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</si>
  <si>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</si>
  <si>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</si>
  <si>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</si>
  <si>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</si>
  <si>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</si>
  <si>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</si>
  <si>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</si>
  <si>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</si>
  <si>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</si>
  <si>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</si>
  <si>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</si>
  <si>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</si>
  <si>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</si>
  <si>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</si>
  <si>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</si>
  <si>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</si>
  <si>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</si>
  <si>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</si>
  <si>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</si>
  <si>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</si>
  <si>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</si>
  <si>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</si>
  <si>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</si>
  <si>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</si>
  <si>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</si>
  <si>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</si>
  <si>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</si>
  <si>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</si>
  <si>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</si>
  <si>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</si>
  <si>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</si>
  <si>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</si>
  <si>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</si>
  <si>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</si>
  <si>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</si>
  <si>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</si>
  <si>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</si>
  <si>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</si>
  <si>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</si>
  <si>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</si>
  <si>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</si>
  <si>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</si>
  <si>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</si>
  <si>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</si>
  <si>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</si>
  <si>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</si>
  <si>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</si>
  <si>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</si>
  <si>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</si>
  <si>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</si>
  <si>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</si>
  <si>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</si>
  <si>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</si>
  <si>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</si>
  <si>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</si>
  <si>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</si>
  <si>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</si>
  <si>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</si>
  <si>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</si>
  <si>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</si>
  <si>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</si>
  <si>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</si>
  <si>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</si>
  <si>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</si>
  <si>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</si>
  <si>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</si>
  <si>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</si>
  <si>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</si>
  <si>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</si>
  <si>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</si>
  <si>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</si>
  <si>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</si>
  <si>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</si>
  <si>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</si>
  <si>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</si>
  <si>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</si>
  <si>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</si>
  <si>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</si>
  <si>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</si>
  <si>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</si>
  <si>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</si>
  <si>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</si>
  <si>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</si>
  <si>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</si>
  <si>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</si>
  <si>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</si>
  <si>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</si>
  <si>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</si>
  <si>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</si>
  <si>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</si>
  <si>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</si>
  <si>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</si>
  <si>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</si>
  <si>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</si>
  <si>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</si>
  <si>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</si>
  <si>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</si>
  <si>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</si>
  <si>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</si>
  <si>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</si>
  <si>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</si>
  <si>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</si>
  <si>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</si>
  <si>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</si>
  <si>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</si>
  <si>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</si>
  <si>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</si>
  <si>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</si>
  <si>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</si>
  <si>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</si>
  <si>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</si>
  <si>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</si>
  <si>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</si>
  <si>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</si>
  <si>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</si>
  <si>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</si>
  <si>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</si>
  <si>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</si>
  <si>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</si>
  <si>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</si>
  <si>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</si>
  <si>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</si>
  <si>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</si>
  <si>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</si>
  <si>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</si>
  <si>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</si>
  <si>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</si>
  <si>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</si>
  <si>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</si>
  <si>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</si>
  <si>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</si>
  <si>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</si>
  <si>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</si>
  <si>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</si>
  <si>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</si>
  <si>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</si>
  <si>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</si>
  <si>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</si>
  <si>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</si>
  <si>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</si>
  <si>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</si>
  <si>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</si>
  <si>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</si>
  <si>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</si>
  <si>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</si>
  <si>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</si>
  <si>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</si>
  <si>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</si>
  <si>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</si>
  <si>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</si>
  <si>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</si>
  <si>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</si>
  <si>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</si>
  <si>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</si>
  <si>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</si>
  <si>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</si>
  <si>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</si>
  <si>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</si>
  <si>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</si>
  <si>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</si>
  <si>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</si>
  <si>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</si>
  <si>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</si>
  <si>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</si>
  <si>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</si>
  <si>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</si>
  <si>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</si>
  <si>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</si>
  <si>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</si>
  <si>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</si>
  <si>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</si>
  <si>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</si>
  <si>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</si>
  <si>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</si>
  <si>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</si>
  <si>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</si>
  <si>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</si>
  <si>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</si>
  <si>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</si>
  <si>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</si>
  <si>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</si>
  <si>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</si>
  <si>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</si>
  <si>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</si>
  <si>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</si>
  <si>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</si>
  <si>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</si>
  <si>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</si>
  <si>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</si>
  <si>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</si>
  <si>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</si>
  <si>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</si>
  <si>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</si>
  <si>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</si>
  <si>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</si>
  <si>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</si>
  <si>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</si>
  <si>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</si>
  <si>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</si>
  <si>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</si>
  <si>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</si>
  <si>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</si>
  <si>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</si>
  <si>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</si>
  <si>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</si>
  <si>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</si>
  <si>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</si>
  <si>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</si>
  <si>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</si>
  <si>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</si>
  <si>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</si>
  <si>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</si>
  <si>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</si>
  <si>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</si>
  <si>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</si>
  <si>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</si>
  <si>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</si>
  <si>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</si>
  <si>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</si>
  <si>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</si>
  <si>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</si>
  <si>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</si>
  <si>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</si>
  <si>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</si>
  <si>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</si>
  <si>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</si>
  <si>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</si>
  <si>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</si>
  <si>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</si>
  <si>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</si>
  <si>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</si>
  <si>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</si>
  <si>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</si>
  <si>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</si>
  <si>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</si>
  <si>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</si>
  <si>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</si>
  <si>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</si>
  <si>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</si>
  <si>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</si>
  <si>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</si>
  <si>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</si>
  <si>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</si>
  <si>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</si>
  <si>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</si>
  <si>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</si>
  <si>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</si>
  <si>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</si>
  <si>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</si>
  <si>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</si>
  <si>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</si>
  <si>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</si>
  <si>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</si>
  <si>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</si>
  <si>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</si>
  <si>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</si>
  <si>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</si>
  <si>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</si>
  <si>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</si>
  <si>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</si>
  <si>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</si>
  <si>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</si>
  <si>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</si>
  <si>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</si>
  <si>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</si>
  <si>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</si>
  <si>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</si>
  <si>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</si>
  <si>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</si>
  <si>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</si>
  <si>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</si>
  <si>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</si>
  <si>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</si>
  <si>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</si>
  <si>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</si>
  <si>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</si>
  <si>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</si>
  <si>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</si>
  <si>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</si>
  <si>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</si>
  <si>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</si>
  <si>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</si>
  <si>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</si>
  <si>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</si>
  <si>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</si>
  <si>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</si>
  <si>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</si>
  <si>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</si>
  <si>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</si>
  <si>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</si>
  <si>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</si>
  <si>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</si>
  <si>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</si>
  <si>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</si>
  <si>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</si>
  <si>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</si>
  <si>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</si>
  <si>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</si>
  <si>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</si>
  <si>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</si>
  <si>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</si>
  <si>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</si>
  <si>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</si>
  <si>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</si>
  <si>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</si>
  <si>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</si>
  <si>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</si>
  <si>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</si>
  <si>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</si>
  <si>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</si>
  <si>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</si>
  <si>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</si>
  <si>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</si>
  <si>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</si>
  <si>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</si>
  <si>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</si>
  <si>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</si>
  <si>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</si>
  <si>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</si>
  <si>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</si>
  <si>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</si>
  <si>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</si>
  <si>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</si>
  <si>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</si>
  <si>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</si>
  <si>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</si>
  <si>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</si>
  <si>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</si>
  <si>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</si>
  <si>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</si>
  <si>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</si>
  <si>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</si>
  <si>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</si>
  <si>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</si>
  <si>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</si>
  <si>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</si>
  <si>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</si>
  <si>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</si>
  <si>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</si>
  <si>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</si>
  <si>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</si>
  <si>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</si>
  <si>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</si>
  <si>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</si>
  <si>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</si>
  <si>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</si>
  <si>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</si>
  <si>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</si>
  <si>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</si>
  <si>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</si>
  <si>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</si>
  <si>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</si>
  <si>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</si>
  <si>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</si>
  <si>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</si>
  <si>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</si>
  <si>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</si>
  <si>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</si>
  <si>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</si>
  <si>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</si>
  <si>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</si>
  <si>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</si>
  <si>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</si>
  <si>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</si>
  <si>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</si>
  <si>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</si>
  <si>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</si>
  <si>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</si>
  <si>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</si>
  <si>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</si>
  <si>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</si>
  <si>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</si>
  <si>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</si>
  <si>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</si>
  <si>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</si>
  <si>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</si>
  <si>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</si>
  <si>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</si>
  <si>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</si>
  <si>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</si>
  <si>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</si>
  <si>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</si>
  <si>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</si>
  <si>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</si>
  <si>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</si>
  <si>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</si>
  <si>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</si>
  <si>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</si>
  <si>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</si>
  <si>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</si>
  <si>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</si>
  <si>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</si>
  <si>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</si>
  <si>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</si>
  <si>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</si>
  <si>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</si>
  <si>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</si>
  <si>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</si>
  <si>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</si>
  <si>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</si>
  <si>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</si>
  <si>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</si>
  <si>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</si>
  <si>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</si>
  <si>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</si>
  <si>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</si>
  <si>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</si>
  <si>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</si>
  <si>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</si>
  <si>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</si>
  <si>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</si>
  <si>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</si>
  <si>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</si>
  <si>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</si>
  <si>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</si>
  <si>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</si>
  <si>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</si>
  <si>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</si>
  <si>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</si>
  <si>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</si>
  <si>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</si>
  <si>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</si>
  <si>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</si>
  <si>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</si>
  <si>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</si>
  <si>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</si>
  <si>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</si>
  <si>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</si>
  <si>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</si>
  <si>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</si>
  <si>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</si>
  <si>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</si>
  <si>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</si>
  <si>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</si>
  <si>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</si>
  <si>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</si>
  <si>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</si>
  <si>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</si>
  <si>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</si>
  <si>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</si>
  <si>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</si>
  <si>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</si>
  <si>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</si>
  <si>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</si>
  <si>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</si>
  <si>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</si>
  <si>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</si>
  <si>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</si>
  <si>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</si>
  <si>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</si>
  <si>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</si>
  <si>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</si>
  <si>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</si>
  <si>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</si>
  <si>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</si>
  <si>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</si>
  <si>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</si>
  <si>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</si>
  <si>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</si>
  <si>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</si>
  <si>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</si>
  <si>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</si>
  <si>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</si>
  <si>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</si>
  <si>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</si>
  <si>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</si>
  <si>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</si>
  <si>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</si>
  <si>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</si>
  <si>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</si>
  <si>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</si>
  <si>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</si>
  <si>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</si>
  <si>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</si>
  <si>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</si>
  <si>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</si>
  <si>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</si>
  <si>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</si>
  <si>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</si>
  <si>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</si>
  <si>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</si>
  <si>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</si>
  <si>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</si>
  <si>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</si>
  <si>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</si>
  <si>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</si>
  <si>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</si>
  <si>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</si>
  <si>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</si>
  <si>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</si>
  <si>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</si>
  <si>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</si>
  <si>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</si>
  <si>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</si>
  <si>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</si>
  <si>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</si>
  <si>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</si>
  <si>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</si>
  <si>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</si>
  <si>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</si>
  <si>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</si>
  <si>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</si>
  <si>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</si>
  <si>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</si>
  <si>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</si>
  <si>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</si>
  <si>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</si>
  <si>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</si>
  <si>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</si>
  <si>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</si>
  <si>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</si>
  <si>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</si>
  <si>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</si>
  <si>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</si>
  <si>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</si>
  <si>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</si>
  <si>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</si>
  <si>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</si>
  <si>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</si>
  <si>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</si>
  <si>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</si>
  <si>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</si>
  <si>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</si>
  <si>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</si>
  <si>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</si>
  <si>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</si>
  <si>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</si>
  <si>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</si>
  <si>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</si>
  <si>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</si>
  <si>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</si>
  <si>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</si>
  <si>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</si>
  <si>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</si>
  <si>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</si>
  <si>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</si>
  <si>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</si>
  <si>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</si>
  <si>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</si>
  <si>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</si>
  <si>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</si>
  <si>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</si>
  <si>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</si>
  <si>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</si>
  <si>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</si>
  <si>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</si>
  <si>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</si>
  <si>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</si>
  <si>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</si>
  <si>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</si>
  <si>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</si>
  <si>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</si>
  <si>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</si>
  <si>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</si>
  <si>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</si>
  <si>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</si>
  <si>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</si>
  <si>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</si>
  <si>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</si>
  <si>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</si>
  <si>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</si>
  <si>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</si>
  <si>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</si>
  <si>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</si>
  <si>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</si>
  <si>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</si>
  <si>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</si>
  <si>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</si>
  <si>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</si>
  <si>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</si>
  <si>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</si>
  <si>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</si>
  <si>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</si>
  <si>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</si>
  <si>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</si>
  <si>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</si>
  <si>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</si>
  <si>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</si>
  <si>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</si>
  <si>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</si>
  <si>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</si>
  <si>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</si>
  <si>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</si>
  <si>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</si>
  <si>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</si>
  <si>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</si>
  <si>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</si>
  <si>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</si>
  <si>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</si>
  <si>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</si>
  <si>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</si>
  <si>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</si>
  <si>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</si>
  <si>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</si>
  <si>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</si>
  <si>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</si>
  <si>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</si>
  <si>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</si>
  <si>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</si>
  <si>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</si>
  <si>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</si>
  <si>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</si>
  <si>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</si>
  <si>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</si>
  <si>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</si>
  <si>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</si>
  <si>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</si>
  <si>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</si>
  <si>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</si>
  <si>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</si>
  <si>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</si>
  <si>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</si>
  <si>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</si>
  <si>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</si>
  <si>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</si>
  <si>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</si>
  <si>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</si>
  <si>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</si>
  <si>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</si>
  <si>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</si>
  <si>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</si>
  <si>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</si>
  <si>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</si>
  <si>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</si>
  <si>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</si>
  <si>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</si>
  <si>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</si>
  <si>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</si>
  <si>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</si>
  <si>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</si>
  <si>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</si>
  <si>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</si>
  <si>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</si>
  <si>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</si>
  <si>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</si>
  <si>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</si>
  <si>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</si>
  <si>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</si>
  <si>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</si>
  <si>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</si>
  <si>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</si>
  <si>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</si>
  <si>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</si>
  <si>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</si>
  <si>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</si>
  <si>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</si>
  <si>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</si>
  <si>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</si>
  <si>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</si>
  <si>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</si>
  <si>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</si>
  <si>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</si>
  <si>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</si>
  <si>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</si>
  <si>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</si>
  <si>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</si>
  <si>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</si>
  <si>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</si>
  <si>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</si>
  <si>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</si>
  <si>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</si>
  <si>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</si>
  <si>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</si>
  <si>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</si>
  <si>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</si>
  <si>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</si>
  <si>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</si>
  <si>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</si>
  <si>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</si>
  <si>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</si>
  <si>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</si>
  <si>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</si>
  <si>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</si>
  <si>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</si>
  <si>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</si>
  <si>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</si>
  <si>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</si>
  <si>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</si>
  <si>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</si>
  <si>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</si>
  <si>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</si>
  <si>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</si>
  <si>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</si>
  <si>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</si>
  <si>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</si>
  <si>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</si>
  <si>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</si>
  <si>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</si>
  <si>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</si>
  <si>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</si>
  <si>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</si>
  <si>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</si>
  <si>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</si>
  <si>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</si>
  <si>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</si>
  <si>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</si>
  <si>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</si>
  <si>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</si>
  <si>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</si>
  <si>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</si>
  <si>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</si>
  <si>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</si>
  <si>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</si>
  <si>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</si>
  <si>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</si>
  <si>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</si>
  <si>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</si>
  <si>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</si>
  <si>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</si>
  <si>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</si>
  <si>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</si>
  <si>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</si>
  <si>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</si>
  <si>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</si>
  <si>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</si>
  <si>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</si>
  <si>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</si>
  <si>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</si>
  <si>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</si>
  <si>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</si>
  <si>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</si>
  <si>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</si>
  <si>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</si>
  <si>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</si>
  <si>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</si>
  <si>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</si>
  <si>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</si>
  <si>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</si>
  <si>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</si>
  <si>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</si>
  <si>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</si>
  <si>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</si>
  <si>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</si>
  <si>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</si>
  <si>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</si>
  <si>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</si>
  <si>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</si>
  <si>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</si>
  <si>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</si>
  <si>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</si>
  <si>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</si>
  <si>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</si>
  <si>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</si>
  <si>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</si>
  <si>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</si>
  <si>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</si>
  <si>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</si>
  <si>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</si>
  <si>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</si>
  <si>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</si>
  <si>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</si>
  <si>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</si>
  <si>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</si>
  <si>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</si>
  <si>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</si>
  <si>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</si>
  <si>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</si>
  <si>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</si>
  <si>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</si>
  <si>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</si>
  <si>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</si>
  <si>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</si>
  <si>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</si>
  <si>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</si>
  <si>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</si>
  <si>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</si>
  <si>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</si>
  <si>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</si>
  <si>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</si>
  <si>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</si>
  <si>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</si>
  <si>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</si>
  <si>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</si>
  <si>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</si>
  <si>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</si>
  <si>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</si>
  <si>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</si>
  <si>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</si>
  <si>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</si>
  <si>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</si>
  <si>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</si>
  <si>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</si>
  <si>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</si>
  <si>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</si>
  <si>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</si>
  <si>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</si>
  <si>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</si>
  <si>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</si>
  <si>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</si>
  <si>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</si>
  <si>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</si>
  <si>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</si>
  <si>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</si>
  <si>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</si>
  <si>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</si>
  <si>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</si>
  <si>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</si>
  <si>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</si>
  <si>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</si>
  <si>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</si>
  <si>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</si>
  <si>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</si>
  <si>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</si>
  <si>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</si>
  <si>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</si>
  <si>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</si>
  <si>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</si>
  <si>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</si>
  <si>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</si>
  <si>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</si>
  <si>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</si>
  <si>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</si>
  <si>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</si>
  <si>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</si>
  <si>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</si>
  <si>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</si>
  <si>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</si>
  <si>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</si>
  <si>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</si>
  <si>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</si>
  <si>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</si>
  <si>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</si>
  <si>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</si>
  <si>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</si>
  <si>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</si>
  <si>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</si>
  <si>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</si>
  <si>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</si>
  <si>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</si>
  <si>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</si>
  <si>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</si>
  <si>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</si>
  <si>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</si>
  <si>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</si>
  <si>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</si>
  <si>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</si>
  <si>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</si>
  <si>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</si>
  <si>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</si>
  <si>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</si>
  <si>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</si>
  <si>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</si>
  <si>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</si>
  <si>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</si>
  <si>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</si>
  <si>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</si>
  <si>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</si>
  <si>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</si>
  <si>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</si>
  <si>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</si>
  <si>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</si>
  <si>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</si>
  <si>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</si>
  <si>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</si>
  <si>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</si>
  <si>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</si>
  <si>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</si>
  <si>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</si>
  <si>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</si>
  <si>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</si>
  <si>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</si>
  <si>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</si>
  <si>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</si>
  <si>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</si>
  <si>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</si>
  <si>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</si>
  <si>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</si>
  <si>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</si>
  <si>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</si>
  <si>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</si>
  <si>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</si>
  <si>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</si>
  <si>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</si>
  <si>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</si>
  <si>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</si>
  <si>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</si>
  <si>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</si>
  <si>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</si>
  <si>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</si>
  <si>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</si>
  <si>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</si>
  <si>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</si>
  <si>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</si>
  <si>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</si>
  <si>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</si>
  <si>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</si>
  <si>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</si>
  <si>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</si>
  <si>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</si>
  <si>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</si>
  <si>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</si>
  <si>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</si>
  <si>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</si>
  <si>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</si>
  <si>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</si>
  <si>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</si>
  <si>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</si>
  <si>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</si>
  <si>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</si>
  <si>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</si>
  <si>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</si>
  <si>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</si>
  <si>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</si>
  <si>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</si>
  <si>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</si>
  <si>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</si>
  <si>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</si>
  <si>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</si>
  <si>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</si>
  <si>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</si>
  <si>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</si>
  <si>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</si>
  <si>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</si>
  <si>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</si>
  <si>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</si>
  <si>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</si>
  <si>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</si>
  <si>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</si>
  <si>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</si>
  <si>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</si>
  <si>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</si>
  <si>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</si>
  <si>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</si>
  <si>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</si>
  <si>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</si>
  <si>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</si>
  <si>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</si>
  <si>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</si>
  <si>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</si>
  <si>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</si>
  <si>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</si>
  <si>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</si>
  <si>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</si>
  <si>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</si>
  <si>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</si>
  <si>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</si>
  <si>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</si>
  <si>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</si>
  <si>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</si>
  <si>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</si>
  <si>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</si>
  <si>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</si>
  <si>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</si>
  <si>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</si>
  <si>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</si>
  <si>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</si>
  <si>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</si>
  <si>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</si>
  <si>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</si>
  <si>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</si>
  <si>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</si>
  <si>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</si>
  <si>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</si>
  <si>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</si>
  <si>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</si>
  <si>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</si>
  <si>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</si>
  <si>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</si>
  <si>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</si>
  <si>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</si>
  <si>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</si>
  <si>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</si>
  <si>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</si>
  <si>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</si>
  <si>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</si>
  <si>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</si>
  <si>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</si>
  <si>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</si>
  <si>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</si>
  <si>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</si>
  <si>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</si>
  <si>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</si>
  <si>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</si>
  <si>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</si>
  <si>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</si>
  <si>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</si>
  <si>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</si>
  <si>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</si>
  <si>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</si>
  <si>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</si>
  <si>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</si>
  <si>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</si>
  <si>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</si>
  <si>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</si>
  <si>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</si>
  <si>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</si>
  <si>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</si>
  <si>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</si>
  <si>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</si>
  <si>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</si>
  <si>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</si>
  <si>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</si>
  <si>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</si>
  <si>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</si>
  <si>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</si>
  <si>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</si>
  <si>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</si>
  <si>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</si>
  <si>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</si>
  <si>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</si>
  <si>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</si>
  <si>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</si>
  <si>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</si>
  <si>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</si>
  <si>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</si>
  <si>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</si>
  <si>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</si>
  <si>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</si>
  <si>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</si>
  <si>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</si>
  <si>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</si>
  <si>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</si>
  <si>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</si>
  <si>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</si>
  <si>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</si>
  <si>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</si>
  <si>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</si>
  <si>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</si>
  <si>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</si>
  <si>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</si>
  <si>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</si>
  <si>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</si>
  <si>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</si>
  <si>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</si>
  <si>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</si>
  <si>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</si>
  <si>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</si>
  <si>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</si>
  <si>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</si>
  <si>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</si>
  <si>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</si>
  <si>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</si>
  <si>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</si>
  <si>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</si>
  <si>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</si>
  <si>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</si>
  <si>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</si>
  <si>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</si>
  <si>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</si>
  <si>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</si>
  <si>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</si>
  <si>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</si>
  <si>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</si>
  <si>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</si>
  <si>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</si>
  <si>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</si>
  <si>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</si>
  <si>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</si>
  <si>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</si>
  <si>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</si>
  <si>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</si>
  <si>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</si>
  <si>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</si>
  <si>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</si>
  <si>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</si>
  <si>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</si>
  <si>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</si>
  <si>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</si>
  <si>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</si>
  <si>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</si>
  <si>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</si>
  <si>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</si>
  <si>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</si>
  <si>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</si>
  <si>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</si>
  <si>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</si>
  <si>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</si>
  <si>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</si>
  <si>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</si>
  <si>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</si>
  <si>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</si>
  <si>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</si>
  <si>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</si>
  <si>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</si>
  <si>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</si>
  <si>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</si>
  <si>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</si>
  <si>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</si>
  <si>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</si>
  <si>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</si>
  <si>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</si>
  <si>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</si>
  <si>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</si>
  <si>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</si>
  <si>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</si>
  <si>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</si>
  <si>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</si>
  <si>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</si>
  <si>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</si>
  <si>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</si>
  <si>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</si>
  <si>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</si>
  <si>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</si>
  <si>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</si>
  <si>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</si>
  <si>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</si>
  <si>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</si>
  <si>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</si>
  <si>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</si>
  <si>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</si>
  <si>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</si>
  <si>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</si>
  <si>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</si>
  <si>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</si>
  <si>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</si>
  <si>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</si>
  <si>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</si>
  <si>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</si>
  <si>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</si>
  <si>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</si>
  <si>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</si>
  <si>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</si>
  <si>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</si>
  <si>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</si>
  <si>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</si>
  <si>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</si>
  <si>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</si>
  <si>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</si>
  <si>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</si>
  <si>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</si>
  <si>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</si>
  <si>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</si>
  <si>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</si>
  <si>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</si>
  <si>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</si>
  <si>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</si>
  <si>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</si>
  <si>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</si>
  <si>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</si>
  <si>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</si>
  <si>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</si>
  <si>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</si>
  <si>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</si>
  <si>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</si>
  <si>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</si>
  <si>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</si>
  <si>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</si>
  <si>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</si>
  <si>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</si>
  <si>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</si>
  <si>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</si>
  <si>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</si>
  <si>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</si>
  <si>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</si>
  <si>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</si>
  <si>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</si>
  <si>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</si>
  <si>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</si>
  <si>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</si>
  <si>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</si>
  <si>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</si>
  <si>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</si>
  <si>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</si>
  <si>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</si>
  <si>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</si>
  <si>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</si>
  <si>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</si>
  <si>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</si>
  <si>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</si>
  <si>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</si>
  <si>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</si>
  <si>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</si>
  <si>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</si>
  <si>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</si>
  <si>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</si>
  <si>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</si>
  <si>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</si>
  <si>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</si>
  <si>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</si>
  <si>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</si>
  <si>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</si>
  <si>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</si>
  <si>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</si>
  <si>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</si>
  <si>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</si>
  <si>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</si>
  <si>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</si>
  <si>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</si>
  <si>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</si>
  <si>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</si>
  <si>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</si>
  <si>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</si>
  <si>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</si>
  <si>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</si>
  <si>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</si>
  <si>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</si>
  <si>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</si>
  <si>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</si>
  <si>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</si>
  <si>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</si>
  <si>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</si>
  <si>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</si>
  <si>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</si>
  <si>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</si>
  <si>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</si>
  <si>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</si>
  <si>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</si>
  <si>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</si>
  <si>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</si>
  <si>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</si>
  <si>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</si>
  <si>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</si>
  <si>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</si>
  <si>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</si>
  <si>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</si>
  <si>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</si>
  <si>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</si>
  <si>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</si>
  <si>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</si>
  <si>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</si>
  <si>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</si>
  <si>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</si>
  <si>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</si>
  <si>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</si>
  <si>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</si>
  <si>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</si>
  <si>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</si>
  <si>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</si>
  <si>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</si>
  <si>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</si>
  <si>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</si>
  <si>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</si>
  <si>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</si>
  <si>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</si>
  <si>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</si>
  <si>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</si>
  <si>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</si>
  <si>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</si>
  <si>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</si>
  <si>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</si>
  <si>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</si>
  <si>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</si>
  <si>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</si>
  <si>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</si>
  <si>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</si>
  <si>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</si>
  <si>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</si>
  <si>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</si>
  <si>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</si>
  <si>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</si>
  <si>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</si>
  <si>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</si>
  <si>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</si>
  <si>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</si>
  <si>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</si>
  <si>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</si>
  <si>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</si>
  <si>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</si>
  <si>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</si>
  <si>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</si>
  <si>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</si>
  <si>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</si>
  <si>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</si>
  <si>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</si>
  <si>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</si>
  <si>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</si>
  <si>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</si>
  <si>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</si>
  <si>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</si>
  <si>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</si>
  <si>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</si>
  <si>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</si>
  <si>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</si>
  <si>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</si>
  <si>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</si>
  <si>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</si>
  <si>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</si>
  <si>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</si>
  <si>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</si>
  <si>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</si>
  <si>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</si>
  <si>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</si>
  <si>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</si>
  <si>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</si>
  <si>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</si>
  <si>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</si>
  <si>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</si>
  <si>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</si>
  <si>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</si>
  <si>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</si>
  <si>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</si>
  <si>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</si>
  <si>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</si>
  <si>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</si>
  <si>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</si>
  <si>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</si>
  <si>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</si>
  <si>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</si>
  <si>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</si>
  <si>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</si>
  <si>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</si>
  <si>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</si>
  <si>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</si>
  <si>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</si>
  <si>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</si>
  <si>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</si>
  <si>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</si>
  <si>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</si>
  <si>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</si>
  <si>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</si>
  <si>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</si>
  <si>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</si>
  <si>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</si>
  <si>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</si>
  <si>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</si>
  <si>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</si>
  <si>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</si>
  <si>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</si>
  <si>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</si>
  <si>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</si>
  <si>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</si>
  <si>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</si>
  <si>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</si>
  <si>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</si>
  <si>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</si>
  <si>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</si>
  <si>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</si>
  <si>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</si>
  <si>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</si>
  <si>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</si>
  <si>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</si>
  <si>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</si>
  <si>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</si>
  <si>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</si>
  <si>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</si>
  <si>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</si>
  <si>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</si>
  <si>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</si>
  <si>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</si>
  <si>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</si>
  <si>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</si>
  <si>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</si>
  <si>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</si>
  <si>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</si>
  <si>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</si>
  <si>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</si>
  <si>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</si>
  <si>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</si>
  <si>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</si>
  <si>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</si>
  <si>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</si>
  <si>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</si>
  <si>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</si>
  <si>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</si>
  <si>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</si>
  <si>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</si>
  <si>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</si>
  <si>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</si>
  <si>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</si>
  <si>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</si>
  <si>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</si>
  <si>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</si>
  <si>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</si>
  <si>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</si>
  <si>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</si>
  <si>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</si>
  <si>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</si>
  <si>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</si>
  <si>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</si>
  <si>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</si>
  <si>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</si>
  <si>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</si>
  <si>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</si>
  <si>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</si>
  <si>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</si>
  <si>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</si>
  <si>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</si>
  <si>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</si>
  <si>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</si>
  <si>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</si>
  <si>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</si>
  <si>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</si>
  <si>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</si>
  <si>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</si>
  <si>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</si>
  <si>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</si>
  <si>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</si>
  <si>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</si>
  <si>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</si>
  <si>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</si>
  <si>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</si>
  <si>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</si>
  <si>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</si>
  <si>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</si>
  <si>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</si>
  <si>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</si>
  <si>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</si>
  <si>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</si>
  <si>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</si>
  <si>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</si>
  <si>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</si>
  <si>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</si>
  <si>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</si>
  <si>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</si>
  <si>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</si>
  <si>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</si>
  <si>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</si>
  <si>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</si>
  <si>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</si>
  <si>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</si>
  <si>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</si>
  <si>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</si>
  <si>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</si>
  <si>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</si>
  <si>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</si>
  <si>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</si>
  <si>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</si>
  <si>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</si>
  <si>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</si>
  <si>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</si>
  <si>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</si>
  <si>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</si>
  <si>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</si>
  <si>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</si>
  <si>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</si>
  <si>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</si>
  <si>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</si>
  <si>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</si>
  <si>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</si>
  <si>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</si>
  <si>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</si>
  <si>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</si>
  <si>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</si>
  <si>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</si>
  <si>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</si>
  <si>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</si>
  <si>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</si>
  <si>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</si>
  <si>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</si>
  <si>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</si>
  <si>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</si>
  <si>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</si>
  <si>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</si>
  <si>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</si>
  <si>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</si>
  <si>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</si>
  <si>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</si>
  <si>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</si>
  <si>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</si>
  <si>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</si>
  <si>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</si>
  <si>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</si>
  <si>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</si>
  <si>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</si>
  <si>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</si>
  <si>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</si>
  <si>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</si>
  <si>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</si>
  <si>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</si>
  <si>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</si>
  <si>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</si>
  <si>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</si>
  <si>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</si>
  <si>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</si>
  <si>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</si>
  <si>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</si>
  <si>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</si>
  <si>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</si>
  <si>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</si>
  <si>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</si>
  <si>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</si>
  <si>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</si>
  <si>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</si>
  <si>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</si>
  <si>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</si>
  <si>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</si>
  <si>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</si>
  <si>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</si>
  <si>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</si>
  <si>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</si>
  <si>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</si>
  <si>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</si>
  <si>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</si>
  <si>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</si>
  <si>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</si>
  <si>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</si>
  <si>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</si>
  <si>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</si>
  <si>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</si>
  <si>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</si>
  <si>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</si>
  <si>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</si>
  <si>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</si>
  <si>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</si>
  <si>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</si>
  <si>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</si>
  <si>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</si>
  <si>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</si>
  <si>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</si>
  <si>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</si>
  <si>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</si>
  <si>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</si>
  <si>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</si>
  <si>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</si>
  <si>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</si>
  <si>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</si>
  <si>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</si>
  <si>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</si>
  <si>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</si>
  <si>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</si>
  <si>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</si>
  <si>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</si>
  <si>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</si>
  <si>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</si>
  <si>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</si>
  <si>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</si>
  <si>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</si>
  <si>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</si>
  <si>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</si>
  <si>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</si>
  <si>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</si>
  <si>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</si>
  <si>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</si>
  <si>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</si>
  <si>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</si>
  <si>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</si>
  <si>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</si>
  <si>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</si>
  <si>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</si>
  <si>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</si>
  <si>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</si>
  <si>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</si>
  <si>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</si>
  <si>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</si>
  <si>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</si>
  <si>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</si>
  <si>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</si>
  <si>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</si>
  <si>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</si>
  <si>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</si>
  <si>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</si>
  <si>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</si>
  <si>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</si>
  <si>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</si>
  <si>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</si>
  <si>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</si>
  <si>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</si>
  <si>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</si>
  <si>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</si>
  <si>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</si>
  <si>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</si>
  <si>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</si>
  <si>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</si>
  <si>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</si>
  <si>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</si>
  <si>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</si>
  <si>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</si>
  <si>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</si>
  <si>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</si>
  <si>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</si>
  <si>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</si>
  <si>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</si>
  <si>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</si>
  <si>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</si>
  <si>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</si>
  <si>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</si>
  <si>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</si>
  <si>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</si>
  <si>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</si>
  <si>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</si>
  <si>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</si>
  <si>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</si>
  <si>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</si>
  <si>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</si>
  <si>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</si>
  <si>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</si>
  <si>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</si>
  <si>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</si>
  <si>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</si>
  <si>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</si>
  <si>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</si>
  <si>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</si>
  <si>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</si>
  <si>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</si>
  <si>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</si>
  <si>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</si>
  <si>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</si>
  <si>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</si>
  <si>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</si>
  <si>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</si>
  <si>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</si>
  <si>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</si>
  <si>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</si>
  <si>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</si>
  <si>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</si>
  <si>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</si>
  <si>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</si>
  <si>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</si>
  <si>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</si>
  <si>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</si>
  <si>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</si>
  <si>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</si>
  <si>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</si>
  <si>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</si>
  <si>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</si>
  <si>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</si>
  <si>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</si>
  <si>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</si>
  <si>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</si>
  <si>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</si>
  <si>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</si>
  <si>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</si>
  <si>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</si>
  <si>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</si>
  <si>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</si>
  <si>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</si>
  <si>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</si>
  <si>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</si>
  <si>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</si>
  <si>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</si>
  <si>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</si>
  <si>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</si>
  <si>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</si>
  <si>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</si>
  <si>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</si>
  <si>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</si>
  <si>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</si>
  <si>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</si>
  <si>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</si>
  <si>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</si>
  <si>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</si>
  <si>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</si>
  <si>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</si>
  <si>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</si>
  <si>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</si>
  <si>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</si>
  <si>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</si>
  <si>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</si>
  <si>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</si>
  <si>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</si>
  <si>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</si>
  <si>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</si>
  <si>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</si>
  <si>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</si>
  <si>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</si>
  <si>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</si>
  <si>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</si>
  <si>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</si>
  <si>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</si>
  <si>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</si>
  <si>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</si>
  <si>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</si>
  <si>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</si>
  <si>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</si>
  <si>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</si>
  <si>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</si>
  <si>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</si>
  <si>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</si>
  <si>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</si>
  <si>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</si>
  <si>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</si>
  <si>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</si>
  <si>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</si>
  <si>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</si>
  <si>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</si>
  <si>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</si>
  <si>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</si>
  <si>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</si>
  <si>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</si>
  <si>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</si>
  <si>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</si>
  <si>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</si>
  <si>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</si>
  <si>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</si>
  <si>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</si>
  <si>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</si>
  <si>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</si>
  <si>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</si>
  <si>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</si>
  <si>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</si>
  <si>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</si>
  <si>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</si>
  <si>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</si>
  <si>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</si>
  <si>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</si>
  <si>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</si>
  <si>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</si>
  <si>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</si>
  <si>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</si>
  <si>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</si>
  <si>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</si>
  <si>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</si>
  <si>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</si>
  <si>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</si>
  <si>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</si>
  <si>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</si>
  <si>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</si>
  <si>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</si>
  <si>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</si>
  <si>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</si>
  <si>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</si>
  <si>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</si>
  <si>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</si>
  <si>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</si>
  <si>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</si>
  <si>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</si>
  <si>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</si>
  <si>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</si>
  <si>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</si>
  <si>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</si>
  <si>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</si>
  <si>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</si>
  <si>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</si>
  <si>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</si>
  <si>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</si>
  <si>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</si>
  <si>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</si>
  <si>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</si>
  <si>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</si>
  <si>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</si>
  <si>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</si>
  <si>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</si>
  <si>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</si>
  <si>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</si>
  <si>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</si>
  <si>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</si>
  <si>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</si>
  <si>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</si>
  <si>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</si>
  <si>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</si>
  <si>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</si>
  <si>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</si>
  <si>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</si>
  <si>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</si>
  <si>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</si>
  <si>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</si>
  <si>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</si>
  <si>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</si>
  <si>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</si>
  <si>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</si>
  <si>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</si>
  <si>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</si>
  <si>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</si>
  <si>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</si>
  <si>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</si>
  <si>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</si>
  <si>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</si>
  <si>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</si>
  <si>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</si>
  <si>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</si>
  <si>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</si>
  <si>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</si>
  <si>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</si>
  <si>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</si>
  <si>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</si>
  <si>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</si>
  <si>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</si>
  <si>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</si>
  <si>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</si>
  <si>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</si>
  <si>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</si>
  <si>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</si>
  <si>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</si>
  <si>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</si>
  <si>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</si>
  <si>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</si>
  <si>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</si>
  <si>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</si>
  <si>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</si>
  <si>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</si>
  <si>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</si>
  <si>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</si>
  <si>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</si>
  <si>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</si>
  <si>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</si>
  <si>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</si>
  <si>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</si>
  <si>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</si>
  <si>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</si>
  <si>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</si>
  <si>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</si>
  <si>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</si>
  <si>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</si>
  <si>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</si>
  <si>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</si>
  <si>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</si>
  <si>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</si>
  <si>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</si>
  <si>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</si>
  <si>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</si>
  <si>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</si>
  <si>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</si>
  <si>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</si>
  <si>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</si>
  <si>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</si>
  <si>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</si>
  <si>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</si>
  <si>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</si>
  <si>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</si>
  <si>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</si>
  <si>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</si>
  <si>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</si>
  <si>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</si>
  <si>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</si>
  <si>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</si>
  <si>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</si>
  <si>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</si>
  <si>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</si>
  <si>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</si>
  <si>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</si>
  <si>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</si>
  <si>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</si>
  <si>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</si>
  <si>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</si>
  <si>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</si>
  <si>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</si>
  <si>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</si>
  <si>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</si>
  <si>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</si>
  <si>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</si>
  <si>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</si>
  <si>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</si>
  <si>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</si>
  <si>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</si>
  <si>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</si>
  <si>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</si>
  <si>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</si>
  <si>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</si>
  <si>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</si>
  <si>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</si>
  <si>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</si>
  <si>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</si>
  <si>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</si>
  <si>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</si>
  <si>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</si>
  <si>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</si>
  <si>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</si>
  <si>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</si>
  <si>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</si>
  <si>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</si>
  <si>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</si>
  <si>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</si>
  <si>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</si>
  <si>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</si>
  <si>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</si>
  <si>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</si>
  <si>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</si>
  <si>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</si>
  <si>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</si>
  <si>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</si>
  <si>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</si>
  <si>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</si>
  <si>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</si>
  <si>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</si>
  <si>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</si>
  <si>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</si>
  <si>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</si>
  <si>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</si>
  <si>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</si>
  <si>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</si>
  <si>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</si>
  <si>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</si>
  <si>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</si>
  <si>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</si>
  <si>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</si>
  <si>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</si>
  <si>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</si>
  <si>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</si>
  <si>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</si>
  <si>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</si>
  <si>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</si>
  <si>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</si>
  <si>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</si>
  <si>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</si>
  <si>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</si>
  <si>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</si>
  <si>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</si>
  <si>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</si>
  <si>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</si>
  <si>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</si>
  <si>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</si>
  <si>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</si>
  <si>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</si>
  <si>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</si>
  <si>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</si>
  <si>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</si>
  <si>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</si>
  <si>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</si>
  <si>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</si>
  <si>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</si>
  <si>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</si>
  <si>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</si>
  <si>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</si>
  <si>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</si>
  <si>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</si>
  <si>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</si>
  <si>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</si>
  <si>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</si>
  <si>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</si>
  <si>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</si>
  <si>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</si>
  <si>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</si>
  <si>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</si>
  <si>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</si>
  <si>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</si>
  <si>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</si>
  <si>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</si>
  <si>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</si>
  <si>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</si>
  <si>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</si>
  <si>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</si>
  <si>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</si>
  <si>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</si>
  <si>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</si>
  <si>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</si>
  <si>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</si>
  <si>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</si>
  <si>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</si>
  <si>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</si>
  <si>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</si>
  <si>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</si>
  <si>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</si>
  <si>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</si>
  <si>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</si>
  <si>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</si>
  <si>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</si>
  <si>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</si>
  <si>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</si>
  <si>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</si>
  <si>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</si>
  <si>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</si>
  <si>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</si>
  <si>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</si>
  <si>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</si>
  <si>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</si>
  <si>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</si>
  <si>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</si>
  <si>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</si>
  <si>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</si>
  <si>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</si>
  <si>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</si>
  <si>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</si>
  <si>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</si>
  <si>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</si>
  <si>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</si>
  <si>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</si>
  <si>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</si>
  <si>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</si>
  <si>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</si>
  <si>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</si>
  <si>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</si>
  <si>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</si>
  <si>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</si>
  <si>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</si>
  <si>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</si>
  <si>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</si>
  <si>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</si>
  <si>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</si>
  <si>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</si>
  <si>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</si>
  <si>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</si>
  <si>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</si>
  <si>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</si>
  <si>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</si>
  <si>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</si>
  <si>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</si>
  <si>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</si>
  <si>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</si>
  <si>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</si>
  <si>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</si>
  <si>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</si>
  <si>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</si>
  <si>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</si>
  <si>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</si>
  <si>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</si>
  <si>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</si>
  <si>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</si>
  <si>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</si>
  <si>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</si>
  <si>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</si>
  <si>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</si>
  <si>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</si>
  <si>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</si>
  <si>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</si>
  <si>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</si>
  <si>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</si>
  <si>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</si>
  <si>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</si>
  <si>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</si>
  <si>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</si>
  <si>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</si>
  <si>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</si>
  <si>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</si>
  <si>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</si>
  <si>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</si>
  <si>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</si>
  <si>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</si>
  <si>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</si>
  <si>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</si>
  <si>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</si>
  <si>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</si>
  <si>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</si>
  <si>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</si>
  <si>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</si>
  <si>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</si>
  <si>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</si>
  <si>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</si>
  <si>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</si>
  <si>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</si>
  <si>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</si>
  <si>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</si>
  <si>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</si>
  <si>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</si>
  <si>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</si>
  <si>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</si>
  <si>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</si>
  <si>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</si>
  <si>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</si>
  <si>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</si>
  <si>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</si>
  <si>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</si>
  <si>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</si>
  <si>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</si>
  <si>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</si>
  <si>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</si>
  <si>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</si>
  <si>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</si>
  <si>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</si>
  <si>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</si>
  <si>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</si>
  <si>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</si>
  <si>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</si>
  <si>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</si>
  <si>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</si>
  <si>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</si>
  <si>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</si>
  <si>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</si>
  <si>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</si>
  <si>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</si>
  <si>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</si>
  <si>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</si>
  <si>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</si>
  <si>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</si>
  <si>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</si>
  <si>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</si>
  <si>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</si>
  <si>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</si>
  <si>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</si>
  <si>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</si>
  <si>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</si>
  <si>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</si>
  <si>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</si>
  <si>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</si>
  <si>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</si>
  <si>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</si>
  <si>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</si>
  <si>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</si>
  <si>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</si>
  <si>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</si>
  <si>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</si>
  <si>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</si>
  <si>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</si>
  <si>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</si>
  <si>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</si>
  <si>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</si>
  <si>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</si>
  <si>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</si>
  <si>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</si>
  <si>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</si>
  <si>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</si>
  <si>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</si>
  <si>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</si>
  <si>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</si>
  <si>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</si>
  <si>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</si>
  <si>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</si>
  <si>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</si>
  <si>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</si>
  <si>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</si>
  <si>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</si>
  <si>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</si>
  <si>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</si>
  <si>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</si>
  <si>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</si>
  <si>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</si>
  <si>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</si>
  <si>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</si>
  <si>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</si>
  <si>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</si>
  <si>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</si>
  <si>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</si>
  <si>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</si>
  <si>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</si>
  <si>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</si>
  <si>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</si>
  <si>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</si>
  <si>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</si>
  <si>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</si>
  <si>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</si>
  <si>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</si>
  <si>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</si>
  <si>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</si>
  <si>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</si>
  <si>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</si>
  <si>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</si>
  <si>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</si>
  <si>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</si>
  <si>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</si>
  <si>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</si>
  <si>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</si>
  <si>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</si>
  <si>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</si>
  <si>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</si>
  <si>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</si>
  <si>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</si>
  <si>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</si>
  <si>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</si>
  <si>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</si>
  <si>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</si>
  <si>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</si>
  <si>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</si>
  <si>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</si>
  <si>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</si>
  <si>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</si>
  <si>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</si>
  <si>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</si>
  <si>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</si>
  <si>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</si>
  <si>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</si>
  <si>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</si>
  <si>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</si>
  <si>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</si>
  <si>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</si>
  <si>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</si>
  <si>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</si>
  <si>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</si>
  <si>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</si>
  <si>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</si>
  <si>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</si>
  <si>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</si>
  <si>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</si>
  <si>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</si>
  <si>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</si>
  <si>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</si>
  <si>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</si>
  <si>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</si>
  <si>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</si>
  <si>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</si>
  <si>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</si>
  <si>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</si>
  <si>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</si>
  <si>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</si>
  <si>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</si>
  <si>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</si>
  <si>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</si>
  <si>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</si>
  <si>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</si>
  <si>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</si>
  <si>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</si>
  <si>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</si>
  <si>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</si>
  <si>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</si>
  <si>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</si>
  <si>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</si>
  <si>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</si>
  <si>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</si>
  <si>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</si>
  <si>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</si>
  <si>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</si>
  <si>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</si>
  <si>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</si>
  <si>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</si>
  <si>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</si>
  <si>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</si>
  <si>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</si>
  <si>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</si>
  <si>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</si>
  <si>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</si>
  <si>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</si>
  <si>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</si>
  <si>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</si>
  <si>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</si>
  <si>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</si>
  <si>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</si>
  <si>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</si>
  <si>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</si>
  <si>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</si>
  <si>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</si>
  <si>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</si>
  <si>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</si>
  <si>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</si>
  <si>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</si>
  <si>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</si>
  <si>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</si>
  <si>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</si>
  <si>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</si>
  <si>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</si>
  <si>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</si>
  <si>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</si>
  <si>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</si>
  <si>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</si>
  <si>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</si>
  <si>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</si>
  <si>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</si>
  <si>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</si>
  <si>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</si>
  <si>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</si>
  <si>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</si>
  <si>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</si>
  <si>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</si>
  <si>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</si>
  <si>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</si>
  <si>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</si>
  <si>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</si>
  <si>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</si>
  <si>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</si>
  <si>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</si>
  <si>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</si>
  <si>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</si>
  <si>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</si>
  <si>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</si>
  <si>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</si>
  <si>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</si>
  <si>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</si>
  <si>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</si>
  <si>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</si>
  <si>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</si>
  <si>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</si>
  <si>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</si>
  <si>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</si>
  <si>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</si>
  <si>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</si>
  <si>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</si>
  <si>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</si>
  <si>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</si>
  <si>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</si>
  <si>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</si>
  <si>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</si>
  <si>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</si>
  <si>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</si>
  <si>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</si>
  <si>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</si>
  <si>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</si>
  <si>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</si>
  <si>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</si>
  <si>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</si>
  <si>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</si>
  <si>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</si>
  <si>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</si>
  <si>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</si>
  <si>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</si>
  <si>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</si>
  <si>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</si>
  <si>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</si>
  <si>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</si>
  <si>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</si>
  <si>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</si>
  <si>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</si>
  <si>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</si>
  <si>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</si>
  <si>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</si>
  <si>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</si>
  <si>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</si>
  <si>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</si>
  <si>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</si>
  <si>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</si>
  <si>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</si>
  <si>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</si>
  <si>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</si>
  <si>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</si>
  <si>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</si>
  <si>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</si>
  <si>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</si>
  <si>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</si>
  <si>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</si>
  <si>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</si>
  <si>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</si>
  <si>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</si>
  <si>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</si>
  <si>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</si>
  <si>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</si>
  <si>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</si>
  <si>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</si>
  <si>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</si>
  <si>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</si>
  <si>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</si>
  <si>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</si>
  <si>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</si>
  <si>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</si>
  <si>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</si>
  <si>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</si>
  <si>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</si>
  <si>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</si>
  <si>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</si>
  <si>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</si>
  <si>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</si>
  <si>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</si>
  <si>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</si>
  <si>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</si>
  <si>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</si>
  <si>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</si>
  <si>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</si>
  <si>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</si>
  <si>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</si>
  <si>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</si>
  <si>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</si>
  <si>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</si>
  <si>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</si>
  <si>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</si>
  <si>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</si>
  <si>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</si>
  <si>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</si>
  <si>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</si>
  <si>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</si>
  <si>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</si>
  <si>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</si>
  <si>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</si>
  <si>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</si>
  <si>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</si>
  <si>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</si>
  <si>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</si>
  <si>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</si>
  <si>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</si>
  <si>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</si>
  <si>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</si>
  <si>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</si>
  <si>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</si>
  <si>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</si>
  <si>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</si>
  <si>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</si>
  <si>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</si>
  <si>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</si>
  <si>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</si>
  <si>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</si>
  <si>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</si>
  <si>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</si>
  <si>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</si>
  <si>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</si>
  <si>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</si>
  <si>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</si>
  <si>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</si>
  <si>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</si>
  <si>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</si>
  <si>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</si>
  <si>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</si>
  <si>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</si>
  <si>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</si>
  <si>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</si>
  <si>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</si>
  <si>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</si>
  <si>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</si>
  <si>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</si>
  <si>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</si>
  <si>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</si>
  <si>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</si>
  <si>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</si>
  <si>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</si>
  <si>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</si>
  <si>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</si>
  <si>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</si>
  <si>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</si>
  <si>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</si>
  <si>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</si>
  <si>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</si>
  <si>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</si>
  <si>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</si>
  <si>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</si>
  <si>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</si>
  <si>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</si>
  <si>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</si>
  <si>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</si>
  <si>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</si>
  <si>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</si>
  <si>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</si>
  <si>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</si>
  <si>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</si>
  <si>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</si>
  <si>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</si>
  <si>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</si>
  <si>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</si>
  <si>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</si>
  <si>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</si>
  <si>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</si>
  <si>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</si>
  <si>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</si>
  <si>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</si>
  <si>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</si>
  <si>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</si>
  <si>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</si>
  <si>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</si>
  <si>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</si>
  <si>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</si>
  <si>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</si>
  <si>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</si>
  <si>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</si>
  <si>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</si>
  <si>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</si>
  <si>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</si>
  <si>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</si>
  <si>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</si>
  <si>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</si>
  <si>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</si>
  <si>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</si>
  <si>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</si>
  <si>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</si>
  <si>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</si>
  <si>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</si>
  <si>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</si>
  <si>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</si>
  <si>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</si>
  <si>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</si>
  <si>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</si>
  <si>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</si>
  <si>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</si>
  <si>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</si>
  <si>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</si>
  <si>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</si>
  <si>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</si>
  <si>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</si>
  <si>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</si>
  <si>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</si>
  <si>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</si>
  <si>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</si>
  <si>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</si>
  <si>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</si>
  <si>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</si>
  <si>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</si>
  <si>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</si>
  <si>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</si>
  <si>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</si>
  <si>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</si>
  <si>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</si>
  <si>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</si>
  <si>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</si>
  <si>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</si>
  <si>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</si>
  <si>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</si>
  <si>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</si>
  <si>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</si>
  <si>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</si>
  <si>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</si>
  <si>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</si>
  <si>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</si>
  <si>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</si>
  <si>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</si>
  <si>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</si>
  <si>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</si>
  <si>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</si>
  <si>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</si>
  <si>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</si>
  <si>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</si>
  <si>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</si>
  <si>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</si>
  <si>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</si>
  <si>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</si>
  <si>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</si>
  <si>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</si>
  <si>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</si>
  <si>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</si>
  <si>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</si>
  <si>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</si>
  <si>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</si>
  <si>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</si>
  <si>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</si>
  <si>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</si>
  <si>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</si>
  <si>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</si>
  <si>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</si>
  <si>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</si>
  <si>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</si>
  <si>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</si>
  <si>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</si>
  <si>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</si>
  <si>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</si>
  <si>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</si>
  <si>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</si>
  <si>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</si>
  <si>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</si>
  <si>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</si>
  <si>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</si>
  <si>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</si>
  <si>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</si>
  <si>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</si>
  <si>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</si>
  <si>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</si>
  <si>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</si>
  <si>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</si>
  <si>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</si>
  <si>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</si>
  <si>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</si>
  <si>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</si>
  <si>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</si>
  <si>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</si>
  <si>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</si>
  <si>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</si>
  <si>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</si>
  <si>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</si>
  <si>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</si>
  <si>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</si>
  <si>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</si>
  <si>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</si>
  <si>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</si>
  <si>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</si>
  <si>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</si>
  <si>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</si>
  <si>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</si>
  <si>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</si>
  <si>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</si>
  <si>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</si>
  <si>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</si>
  <si>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</si>
  <si>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</si>
  <si>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</si>
  <si>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</si>
  <si>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</si>
  <si>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</si>
  <si>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</si>
  <si>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</si>
  <si>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</si>
  <si>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</si>
  <si>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</si>
  <si>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</si>
  <si>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</si>
  <si>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</si>
  <si>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</si>
  <si>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</si>
  <si>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</si>
  <si>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</si>
  <si>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</si>
  <si>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</si>
  <si>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</si>
  <si>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</si>
  <si>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</si>
  <si>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</si>
  <si>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</si>
  <si>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</si>
  <si>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</si>
  <si>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</si>
  <si>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</si>
  <si>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</si>
  <si>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</si>
  <si>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</si>
  <si>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</si>
  <si>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</si>
  <si>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</si>
  <si>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</si>
  <si>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</si>
  <si>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</si>
  <si>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</si>
  <si>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</si>
  <si>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</si>
  <si>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</si>
  <si>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</si>
  <si>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</si>
  <si>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</si>
  <si>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</si>
  <si>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</si>
  <si>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</si>
  <si>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</si>
  <si>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</si>
  <si>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</si>
  <si>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</si>
  <si>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</si>
  <si>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</si>
  <si>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</si>
  <si>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</si>
  <si>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</si>
  <si>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</si>
  <si>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</si>
  <si>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</si>
  <si>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</si>
  <si>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</si>
  <si>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</si>
  <si>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</si>
  <si>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</si>
  <si>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</si>
  <si>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</si>
  <si>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</si>
  <si>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</si>
  <si>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</si>
  <si>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</si>
  <si>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</si>
  <si>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</si>
  <si>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</si>
  <si>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</si>
  <si>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</si>
  <si>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</si>
  <si>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</si>
  <si>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</si>
  <si>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</si>
  <si>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</si>
  <si>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</si>
  <si>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</si>
  <si>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</si>
  <si>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</si>
  <si>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</si>
  <si>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</si>
  <si>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</si>
  <si>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</si>
  <si>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</si>
  <si>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</si>
  <si>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</si>
  <si>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</si>
  <si>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</si>
  <si>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</si>
  <si>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</si>
  <si>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</si>
  <si>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</si>
  <si>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</si>
  <si>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</si>
  <si>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</si>
  <si>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</si>
  <si>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</si>
  <si>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</si>
  <si>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</si>
  <si>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</si>
  <si>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</si>
  <si>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</si>
  <si>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</si>
  <si>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</si>
  <si>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</si>
  <si>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</si>
  <si>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</si>
  <si>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</si>
  <si>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</si>
  <si>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</si>
  <si>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</si>
  <si>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</si>
  <si>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</si>
  <si>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</si>
  <si>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</si>
  <si>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</si>
  <si>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</si>
  <si>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</si>
  <si>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</si>
  <si>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</si>
  <si>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</si>
  <si>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</si>
  <si>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</si>
  <si>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</si>
  <si>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</si>
  <si>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</si>
  <si>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</si>
  <si>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</si>
  <si>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</si>
  <si>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</si>
  <si>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</si>
  <si>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</si>
  <si>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</si>
  <si>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</si>
  <si>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</si>
  <si>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</si>
  <si>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</si>
  <si>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</si>
  <si>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</si>
  <si>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</si>
  <si>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</si>
  <si>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</si>
  <si>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</si>
  <si>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</si>
  <si>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</si>
  <si>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</si>
  <si>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</si>
  <si>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</si>
  <si>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</si>
  <si>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</si>
  <si>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</si>
  <si>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</si>
  <si>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</si>
  <si>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</si>
  <si>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</si>
  <si>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</si>
  <si>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</si>
  <si>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</si>
  <si>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</si>
  <si>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</si>
  <si>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</si>
  <si>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</si>
  <si>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</si>
  <si>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</si>
  <si>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</si>
  <si>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</si>
  <si>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</si>
  <si>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</si>
  <si>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</si>
  <si>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</si>
  <si>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</si>
  <si>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</si>
  <si>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</si>
  <si>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</si>
  <si>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</si>
  <si>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</si>
  <si>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</si>
  <si>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</si>
  <si>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</si>
  <si>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</si>
  <si>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</si>
  <si>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</si>
  <si>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</si>
  <si>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</si>
  <si>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</si>
  <si>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</si>
  <si>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</si>
  <si>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</si>
  <si>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</si>
  <si>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</si>
  <si>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</si>
  <si>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</si>
  <si>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</si>
  <si>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</si>
  <si>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</si>
  <si>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</si>
  <si>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</si>
  <si>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</si>
  <si>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</si>
  <si>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</si>
  <si>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</si>
  <si>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</si>
  <si>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</si>
  <si>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</si>
  <si>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</si>
  <si>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</si>
  <si>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</si>
  <si>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</si>
  <si>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</si>
  <si>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</si>
  <si>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</si>
  <si>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</si>
  <si>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</si>
  <si>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</si>
  <si>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</si>
  <si>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</si>
  <si>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</si>
  <si>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</si>
  <si>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</si>
  <si>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</si>
  <si>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</si>
  <si>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</si>
  <si>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</si>
  <si>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</si>
  <si>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</si>
  <si>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</si>
  <si>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</si>
  <si>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</si>
  <si>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</si>
  <si>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</si>
  <si>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</si>
  <si>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</si>
  <si>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</si>
  <si>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</si>
  <si>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</si>
  <si>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</si>
  <si>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</si>
  <si>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</si>
  <si>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</si>
  <si>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</si>
  <si>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</si>
  <si>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</si>
  <si>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</si>
  <si>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</si>
  <si>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</si>
  <si>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</si>
  <si>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</si>
  <si>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</si>
  <si>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</si>
  <si>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</si>
  <si>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</si>
  <si>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</si>
  <si>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</si>
  <si>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</si>
  <si>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</si>
  <si>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</si>
  <si>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</si>
  <si>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</si>
  <si>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</si>
  <si>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</si>
  <si>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</si>
  <si>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</si>
  <si>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</si>
  <si>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</si>
  <si>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</si>
  <si>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</si>
  <si>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</si>
  <si>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</si>
  <si>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</si>
  <si>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</si>
  <si>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</si>
  <si>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</si>
  <si>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</si>
  <si>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</si>
  <si>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</si>
  <si>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</si>
  <si>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</si>
  <si>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</si>
  <si>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</si>
  <si>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</si>
  <si>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</si>
  <si>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</si>
  <si>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</si>
  <si>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</si>
  <si>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</si>
  <si>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</si>
  <si>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</si>
  <si>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</si>
  <si>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</si>
  <si>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</si>
  <si>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</si>
  <si>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</si>
  <si>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</si>
  <si>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</si>
  <si>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</si>
  <si>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</si>
  <si>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</si>
  <si>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</si>
  <si>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</si>
  <si>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</si>
  <si>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</si>
  <si>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</si>
  <si>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</si>
  <si>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</si>
  <si>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</si>
  <si>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</si>
  <si>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</si>
  <si>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</si>
  <si>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</si>
  <si>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</si>
  <si>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</si>
  <si>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</si>
  <si>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</si>
  <si>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</si>
  <si>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</si>
  <si>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</si>
  <si>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</si>
  <si>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</si>
  <si>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</si>
  <si>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</si>
  <si>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</si>
  <si>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</si>
  <si>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</si>
  <si>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</si>
  <si>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</si>
  <si>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</si>
  <si>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</si>
  <si>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</si>
  <si>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</si>
  <si>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</si>
  <si>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</si>
  <si>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</si>
  <si>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</si>
  <si>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</si>
  <si>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</si>
  <si>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</si>
  <si>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</si>
  <si>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</si>
  <si>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</si>
  <si>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</si>
  <si>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</si>
  <si>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</si>
  <si>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</si>
  <si>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</si>
  <si>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</si>
  <si>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</si>
  <si>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</si>
  <si>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</si>
  <si>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</si>
  <si>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</si>
  <si>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</si>
  <si>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</si>
  <si>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</si>
  <si>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</si>
  <si>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</si>
  <si>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</si>
  <si>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</si>
  <si>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</si>
  <si>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</si>
  <si>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</si>
  <si>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</si>
  <si>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</si>
  <si>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</si>
  <si>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</si>
  <si>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</si>
  <si>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</si>
  <si>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</si>
  <si>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</si>
  <si>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</si>
  <si>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</si>
  <si>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</si>
  <si>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</si>
  <si>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</si>
  <si>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</si>
  <si>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</si>
  <si>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</si>
  <si>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</si>
  <si>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</si>
  <si>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</si>
  <si>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</si>
  <si>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</si>
  <si>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</si>
  <si>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</si>
  <si>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</si>
  <si>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</si>
  <si>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</si>
  <si>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</si>
  <si>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</si>
  <si>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</si>
  <si>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</si>
  <si>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</si>
  <si>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</si>
  <si>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</si>
  <si>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</si>
  <si>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</si>
  <si>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</si>
  <si>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</si>
  <si>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</si>
  <si>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</si>
  <si>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</si>
  <si>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</si>
  <si>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</si>
  <si>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</si>
  <si>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</si>
  <si>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</si>
  <si>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</si>
  <si>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</si>
  <si>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</si>
  <si>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</si>
  <si>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</si>
  <si>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</si>
  <si>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</si>
  <si>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</si>
  <si>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</si>
  <si>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</si>
  <si>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</si>
  <si>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</si>
  <si>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</si>
  <si>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</si>
  <si>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</si>
  <si>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</si>
  <si>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</si>
  <si>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</si>
  <si>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</si>
  <si>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</si>
  <si>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</si>
  <si>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</si>
  <si>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</si>
  <si>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</si>
  <si>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</si>
  <si>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</si>
  <si>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</si>
  <si>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</si>
  <si>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</si>
  <si>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</si>
  <si>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</si>
  <si>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</si>
  <si>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</si>
  <si>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</si>
  <si>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</si>
  <si>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</si>
  <si>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</si>
  <si>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</si>
  <si>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</si>
  <si>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</si>
  <si>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</si>
  <si>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</si>
  <si>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</si>
  <si>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</si>
  <si>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</si>
  <si>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</si>
  <si>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</si>
  <si>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</si>
  <si>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</si>
  <si>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</si>
  <si>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</si>
  <si>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</si>
  <si>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</si>
  <si>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</si>
  <si>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</si>
  <si>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</si>
  <si>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</si>
  <si>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</si>
  <si>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</si>
  <si>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</si>
  <si>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</si>
  <si>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</si>
  <si>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</si>
  <si>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</si>
  <si>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</si>
  <si>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</si>
  <si>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</si>
  <si>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</si>
  <si>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</si>
  <si>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</si>
  <si>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</si>
  <si>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</si>
  <si>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</si>
  <si>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</si>
  <si>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</si>
  <si>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</si>
  <si>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</si>
  <si>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</si>
  <si>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</si>
  <si>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</si>
  <si>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</si>
  <si>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</si>
  <si>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</si>
  <si>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</si>
  <si>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</si>
  <si>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</si>
  <si>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</si>
  <si>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</si>
  <si>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</si>
  <si>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</si>
  <si>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</si>
  <si>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</si>
  <si>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</si>
  <si>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</si>
  <si>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</si>
  <si>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</si>
  <si>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</si>
  <si>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</si>
  <si>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</si>
  <si>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</si>
  <si>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</si>
  <si>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</si>
  <si>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</si>
  <si>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</si>
  <si>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</si>
  <si>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</si>
  <si>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</si>
  <si>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</si>
  <si>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</si>
  <si>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</si>
  <si>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</si>
  <si>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</si>
  <si>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</si>
  <si>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</si>
  <si>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</si>
  <si>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</si>
  <si>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</si>
  <si>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</si>
  <si>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</si>
  <si>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</si>
  <si>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</si>
  <si>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</si>
  <si>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</si>
  <si>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</si>
  <si>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</si>
  <si>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</si>
  <si>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</si>
  <si>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</si>
  <si>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</si>
  <si>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</si>
  <si>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</si>
  <si>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</si>
  <si>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</si>
  <si>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</si>
  <si>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</si>
  <si>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</si>
  <si>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</si>
  <si>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</si>
  <si>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</si>
  <si>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</si>
  <si>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</si>
  <si>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</si>
  <si>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</si>
  <si>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</si>
  <si>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</si>
  <si>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</si>
  <si>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</si>
  <si>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</si>
  <si>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</si>
  <si>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</si>
  <si>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</si>
  <si>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</si>
  <si>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</si>
  <si>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</si>
  <si>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</si>
  <si>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</si>
  <si>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</si>
  <si>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</si>
  <si>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</si>
  <si>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</si>
  <si>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</si>
  <si>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</si>
  <si>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</si>
  <si>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</si>
  <si>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</si>
  <si>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</si>
  <si>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</si>
  <si>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</si>
  <si>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</si>
  <si>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</si>
  <si>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</si>
  <si>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</si>
  <si>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</si>
  <si>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</si>
  <si>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</si>
  <si>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</si>
  <si>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</si>
  <si>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</si>
  <si>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</si>
  <si>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</si>
  <si>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</si>
  <si>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</si>
  <si>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</si>
  <si>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</si>
  <si>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</si>
  <si>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</si>
  <si>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</si>
  <si>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</si>
  <si>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</si>
  <si>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</si>
  <si>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</si>
  <si>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</si>
  <si>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</si>
  <si>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</si>
  <si>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</si>
  <si>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</si>
  <si>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</si>
  <si>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</si>
  <si>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</si>
  <si>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</si>
  <si>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</si>
  <si>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</si>
  <si>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</si>
  <si>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</si>
  <si>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</si>
  <si>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</si>
  <si>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</si>
  <si>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</si>
  <si>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</si>
  <si>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</si>
  <si>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</si>
  <si>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</si>
  <si>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</si>
  <si>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</si>
  <si>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</si>
  <si>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</si>
  <si>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</si>
  <si>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</si>
  <si>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</si>
  <si>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</si>
  <si>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</si>
  <si>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</si>
  <si>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</si>
  <si>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</si>
  <si>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</si>
  <si>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</si>
  <si>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</si>
  <si>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</si>
  <si>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</si>
  <si>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</si>
  <si>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</si>
  <si>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</si>
  <si>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</si>
  <si>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</si>
  <si>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</si>
  <si>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</si>
  <si>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</si>
  <si>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</si>
  <si>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</si>
  <si>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</si>
  <si>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</si>
  <si>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</si>
  <si>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</si>
  <si>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</si>
  <si>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</si>
  <si>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</si>
  <si>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</si>
  <si>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</si>
  <si>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</si>
  <si>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</si>
  <si>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</si>
  <si>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</si>
  <si>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</si>
  <si>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</si>
  <si>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</si>
  <si>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</si>
  <si>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</si>
  <si>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</si>
  <si>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</si>
  <si>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</si>
  <si>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</si>
  <si>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</si>
  <si>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</si>
  <si>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</si>
  <si>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</si>
  <si>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</si>
  <si>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</si>
  <si>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</si>
  <si>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</si>
  <si>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</si>
  <si>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</si>
  <si>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</si>
  <si>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</si>
  <si>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</si>
  <si>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</si>
  <si>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</si>
  <si>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</si>
  <si>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</si>
  <si>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</si>
  <si>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</si>
  <si>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</si>
  <si>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</si>
  <si>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</si>
  <si>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</si>
  <si>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</si>
  <si>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</si>
  <si>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</si>
  <si>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</si>
  <si>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</si>
  <si>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</si>
  <si>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</si>
  <si>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</si>
  <si>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</si>
  <si>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</si>
  <si>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</si>
  <si>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</si>
  <si>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</si>
  <si>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</si>
  <si>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</si>
  <si>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</si>
  <si>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</si>
  <si>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</si>
  <si>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</si>
  <si>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</si>
  <si>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</si>
  <si>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</si>
  <si>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</si>
  <si>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</si>
  <si>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</si>
  <si>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</si>
  <si>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</si>
  <si>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</si>
  <si>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</si>
  <si>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</si>
  <si>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</si>
  <si>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</si>
  <si>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</si>
  <si>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</si>
  <si>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</si>
  <si>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</si>
  <si>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</si>
  <si>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</si>
  <si>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</si>
  <si>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</si>
  <si>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</si>
  <si>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</si>
  <si>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</si>
  <si>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</si>
  <si>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</si>
  <si>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</si>
  <si>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</si>
  <si>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</si>
  <si>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</si>
  <si>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</si>
  <si>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</si>
  <si>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</si>
  <si>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</si>
  <si>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</si>
  <si>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</si>
  <si>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</si>
  <si>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</si>
  <si>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</si>
  <si>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</si>
  <si>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</si>
  <si>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</si>
  <si>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</si>
  <si>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</si>
  <si>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</si>
  <si>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</si>
  <si>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</si>
  <si>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</si>
  <si>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</si>
  <si>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</si>
  <si>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</si>
  <si>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</si>
  <si>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</si>
  <si>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</si>
  <si>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</si>
  <si>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</si>
  <si>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</si>
  <si>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</si>
  <si>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</si>
  <si>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</si>
  <si>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</si>
  <si>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</si>
  <si>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</si>
  <si>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</si>
  <si>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</si>
  <si>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</si>
  <si>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</si>
  <si>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</si>
  <si>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</si>
  <si>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</si>
  <si>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</si>
  <si>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</si>
  <si>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</si>
  <si>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</si>
  <si>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</si>
  <si>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</si>
  <si>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</si>
  <si>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</si>
  <si>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</si>
  <si>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</si>
  <si>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</si>
  <si>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</si>
  <si>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</si>
  <si>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</si>
  <si>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</si>
  <si>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</si>
  <si>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</si>
  <si>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</si>
  <si>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</si>
  <si>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</si>
  <si>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</si>
  <si>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</si>
  <si>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</si>
  <si>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</si>
  <si>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</si>
  <si>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</si>
  <si>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</si>
  <si>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</si>
  <si>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</si>
  <si>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</si>
  <si>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</si>
  <si>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</si>
  <si>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</si>
  <si>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</si>
  <si>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</si>
  <si>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</si>
  <si>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</si>
  <si>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</si>
  <si>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</si>
  <si>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</si>
  <si>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</si>
  <si>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</si>
  <si>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</si>
  <si>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</si>
  <si>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</si>
  <si>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</si>
  <si>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</si>
  <si>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</si>
  <si>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</si>
  <si>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</si>
  <si>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</si>
  <si>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</si>
  <si>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</si>
  <si>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</si>
  <si>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</si>
  <si>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</si>
  <si>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</si>
  <si>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</si>
  <si>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</si>
  <si>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</si>
  <si>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</si>
  <si>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</si>
  <si>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</si>
  <si>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</si>
  <si>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</si>
  <si>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</si>
  <si>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</si>
  <si>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</si>
  <si>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</si>
  <si>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</si>
  <si>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</si>
  <si>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</si>
  <si>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</si>
  <si>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</si>
  <si>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</si>
  <si>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</si>
  <si>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</si>
  <si>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</si>
  <si>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</si>
  <si>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</si>
  <si>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</si>
  <si>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</si>
  <si>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</si>
  <si>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</si>
  <si>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</si>
  <si>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</si>
  <si>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</si>
  <si>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</si>
  <si>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</si>
  <si>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</si>
  <si>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</si>
  <si>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</si>
  <si>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</si>
  <si>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</si>
  <si>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</si>
  <si>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</si>
  <si>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</si>
  <si>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</si>
  <si>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</si>
  <si>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</si>
  <si>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</si>
  <si>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</si>
  <si>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</si>
  <si>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</si>
  <si>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</si>
  <si>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</si>
  <si>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</si>
  <si>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</si>
  <si>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</si>
  <si>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</si>
  <si>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</si>
  <si>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</si>
  <si>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</si>
  <si>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</si>
  <si>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</si>
  <si>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</si>
  <si>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</si>
  <si>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</si>
  <si>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</si>
  <si>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</si>
  <si>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</si>
  <si>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</si>
  <si>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</si>
  <si>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</si>
  <si>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</si>
  <si>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</si>
  <si>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</si>
  <si>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</si>
  <si>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</si>
  <si>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</si>
  <si>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</si>
  <si>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</si>
  <si>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</si>
  <si>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</si>
  <si>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</si>
  <si>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</si>
  <si>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</si>
  <si>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</si>
  <si>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</si>
  <si>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</si>
  <si>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</si>
  <si>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</si>
  <si>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</si>
  <si>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</si>
  <si>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</si>
  <si>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</si>
  <si>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</si>
  <si>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</si>
  <si>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</si>
  <si>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</si>
  <si>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</si>
  <si>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</si>
  <si>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</si>
  <si>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</si>
  <si>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</si>
  <si>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</si>
  <si>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</si>
  <si>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</si>
  <si>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</si>
  <si>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</si>
  <si>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</si>
  <si>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</si>
  <si>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</si>
  <si>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</si>
  <si>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</si>
  <si>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</si>
  <si>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</si>
  <si>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</si>
  <si>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</si>
  <si>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</si>
  <si>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</si>
  <si>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</si>
  <si>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</si>
  <si>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</si>
  <si>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</si>
  <si>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</si>
  <si>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</si>
  <si>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</si>
  <si>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</si>
  <si>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</si>
  <si>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</si>
  <si>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</si>
  <si>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</si>
  <si>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</si>
  <si>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</si>
  <si>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</si>
  <si>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</si>
  <si>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</si>
  <si>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</si>
  <si>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</si>
  <si>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</si>
  <si>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</si>
  <si>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</si>
  <si>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</si>
  <si>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</si>
  <si>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</si>
  <si>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</si>
  <si>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</si>
  <si>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</si>
  <si>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</si>
  <si>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</si>
  <si>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</si>
  <si>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</si>
  <si>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</si>
  <si>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</si>
  <si>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</si>
  <si>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</si>
  <si>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</si>
  <si>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</si>
  <si>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</si>
  <si>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</si>
  <si>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</si>
  <si>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</si>
  <si>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</si>
  <si>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</si>
  <si>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</si>
  <si>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</si>
  <si>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</si>
  <si>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</si>
  <si>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</si>
  <si>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</si>
  <si>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</si>
  <si>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</si>
  <si>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</si>
  <si>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</si>
  <si>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</si>
  <si>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</si>
  <si>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</si>
  <si>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</si>
  <si>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</si>
  <si>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</si>
  <si>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</si>
  <si>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</si>
  <si>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</si>
  <si>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</si>
  <si>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</si>
  <si>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</si>
  <si>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</si>
  <si>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</si>
  <si>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</si>
  <si>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</si>
  <si>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</si>
  <si>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</si>
  <si>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</si>
  <si>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</si>
  <si>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</si>
  <si>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</si>
  <si>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</si>
  <si>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</si>
  <si>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</si>
  <si>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</si>
  <si>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</si>
  <si>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</si>
  <si>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</si>
  <si>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</si>
  <si>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</si>
  <si>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</si>
  <si>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</si>
  <si>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</si>
  <si>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</si>
  <si>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</si>
  <si>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</si>
  <si>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</si>
  <si>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</si>
  <si>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</si>
  <si>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</si>
  <si>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</si>
  <si>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</si>
  <si>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</si>
  <si>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</si>
  <si>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</si>
  <si>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</si>
  <si>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</si>
  <si>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</si>
  <si>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</si>
  <si>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</si>
  <si>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</si>
  <si>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</si>
  <si>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</si>
  <si>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</si>
  <si>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</si>
  <si>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</si>
  <si>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</si>
  <si>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</si>
  <si>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</si>
  <si>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</si>
  <si>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</si>
  <si>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</si>
  <si>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</si>
  <si>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</si>
  <si>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</si>
  <si>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</si>
  <si>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</si>
  <si>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</si>
  <si>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</si>
  <si>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</si>
  <si>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</si>
  <si>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</si>
  <si>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</si>
  <si>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</si>
  <si>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</si>
  <si>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</si>
  <si>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</si>
  <si>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</si>
  <si>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</si>
  <si>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</si>
  <si>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</si>
  <si>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</si>
  <si>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</si>
  <si>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</si>
  <si>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</si>
  <si>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</si>
  <si>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</si>
  <si>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</si>
  <si>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</si>
  <si>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</si>
  <si>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</si>
  <si>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</si>
  <si>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</si>
  <si>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</si>
  <si>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</si>
  <si>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</si>
  <si>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</si>
  <si>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</si>
  <si>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</si>
  <si>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</si>
  <si>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</si>
  <si>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</si>
  <si>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</si>
  <si>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</si>
  <si>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</si>
  <si>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</si>
  <si>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</si>
  <si>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</si>
  <si>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</si>
  <si>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</si>
  <si>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</si>
  <si>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</si>
  <si>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</si>
  <si>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</si>
  <si>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</si>
  <si>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</si>
  <si>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</si>
  <si>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</si>
  <si>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</si>
  <si>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</si>
  <si>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</si>
  <si>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</si>
  <si>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</si>
  <si>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</si>
  <si>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</si>
  <si>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</si>
  <si>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</si>
  <si>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</si>
  <si>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</si>
  <si>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</si>
  <si>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</si>
  <si>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</si>
  <si>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</si>
  <si>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</si>
  <si>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</si>
  <si>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</si>
  <si>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</si>
  <si>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</si>
  <si>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</si>
  <si>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</si>
  <si>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</si>
  <si>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</si>
  <si>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</si>
  <si>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</si>
  <si>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</si>
  <si>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</si>
  <si>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</si>
  <si>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</si>
  <si>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</si>
  <si>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</si>
  <si>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</si>
  <si>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</si>
  <si>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</si>
  <si>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</si>
  <si>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</si>
  <si>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</si>
  <si>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</si>
  <si>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</si>
  <si>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</si>
  <si>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</si>
  <si>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</si>
  <si>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</si>
  <si>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</si>
  <si>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</si>
  <si>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</si>
  <si>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</si>
  <si>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</si>
  <si>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</si>
  <si>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</si>
  <si>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</si>
  <si>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</si>
  <si>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</si>
  <si>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</si>
  <si>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</si>
  <si>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</si>
  <si>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</si>
  <si>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</si>
  <si>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</si>
  <si>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</si>
  <si>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</si>
  <si>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</si>
  <si>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</si>
  <si>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</si>
  <si>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</si>
  <si>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</si>
  <si>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</si>
  <si>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</si>
  <si>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</si>
  <si>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</si>
  <si>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</si>
  <si>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</si>
  <si>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</si>
  <si>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</si>
  <si>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</si>
  <si>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</si>
  <si>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</si>
  <si>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</si>
  <si>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</si>
  <si>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</si>
  <si>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</si>
  <si>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</si>
  <si>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</si>
  <si>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</si>
  <si>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</si>
  <si>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</si>
  <si>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</si>
  <si>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</si>
  <si>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</si>
  <si>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</si>
  <si>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</si>
  <si>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</si>
  <si>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</si>
  <si>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</si>
  <si>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</si>
  <si>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</si>
  <si>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</si>
  <si>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</si>
  <si>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</si>
  <si>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</si>
  <si>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</si>
  <si>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</si>
  <si>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</si>
  <si>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</si>
  <si>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</si>
  <si>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</si>
  <si>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</si>
  <si>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</si>
  <si>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</si>
  <si>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</si>
  <si>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</si>
  <si>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</si>
  <si>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</si>
  <si>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</si>
  <si>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</si>
  <si>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</si>
  <si>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</si>
  <si>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</si>
  <si>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</si>
  <si>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</si>
  <si>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</si>
  <si>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</si>
  <si>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</si>
  <si>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</si>
  <si>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</si>
  <si>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</si>
  <si>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</si>
  <si>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</si>
  <si>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</si>
  <si>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</si>
  <si>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</si>
  <si>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</si>
  <si>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</si>
  <si>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</si>
  <si>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</si>
  <si>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</si>
  <si>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</si>
  <si>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</si>
  <si>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</si>
  <si>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</si>
  <si>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</si>
  <si>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</si>
  <si>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</si>
  <si>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</si>
  <si>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</si>
  <si>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</si>
  <si>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</si>
  <si>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</si>
  <si>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</si>
  <si>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</si>
  <si>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</si>
  <si>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</si>
  <si>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</si>
  <si>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</si>
  <si>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</si>
  <si>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</si>
  <si>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</si>
  <si>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</si>
  <si>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</si>
  <si>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</si>
  <si>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</si>
  <si>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</si>
  <si>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</si>
  <si>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</si>
  <si>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</si>
  <si>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</si>
  <si>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</si>
  <si>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</si>
  <si>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</si>
  <si>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</si>
  <si>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</si>
  <si>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</si>
  <si>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</si>
  <si>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</si>
  <si>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</si>
  <si>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</si>
  <si>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</si>
  <si>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</si>
  <si>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</si>
  <si>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</si>
  <si>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</si>
  <si>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</si>
  <si>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</si>
  <si>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</si>
  <si>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</si>
  <si>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</si>
  <si>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</si>
  <si>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</si>
  <si>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</si>
  <si>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</si>
  <si>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</si>
  <si>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</si>
  <si>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</si>
  <si>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</si>
  <si>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</si>
  <si>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</si>
  <si>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</si>
  <si>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</si>
  <si>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</si>
  <si>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</si>
  <si>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</si>
  <si>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</si>
  <si>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</si>
  <si>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</si>
  <si>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</si>
  <si>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</si>
  <si>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</si>
  <si>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</si>
  <si>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</si>
  <si>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</si>
  <si>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</si>
  <si>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</si>
  <si>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</si>
  <si>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</si>
  <si>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</si>
  <si>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</si>
  <si>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</si>
  <si>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</si>
  <si>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</si>
  <si>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</si>
  <si>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</si>
  <si>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</si>
  <si>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</si>
  <si>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</si>
  <si>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</si>
  <si>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</si>
  <si>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</si>
  <si>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</si>
  <si>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</si>
  <si>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</si>
  <si>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</si>
  <si>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</si>
  <si>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</si>
  <si>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</si>
  <si>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</si>
  <si>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</si>
  <si>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</si>
  <si>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</si>
  <si>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</si>
  <si>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</si>
  <si>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</si>
  <si>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</si>
  <si>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</si>
  <si>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</si>
  <si>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</si>
  <si>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</si>
  <si>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</si>
  <si>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</si>
  <si>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</si>
  <si>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</si>
  <si>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</si>
  <si>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</si>
  <si>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</si>
  <si>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</si>
  <si>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</si>
  <si>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</si>
  <si>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</si>
  <si>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</si>
  <si>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</si>
  <si>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</si>
  <si>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</si>
  <si>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</si>
  <si>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</si>
  <si>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</si>
  <si>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</si>
  <si>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</si>
  <si>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</si>
  <si>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</si>
  <si>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</si>
  <si>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</si>
  <si>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</si>
  <si>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</si>
  <si>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</si>
  <si>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</si>
  <si>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</si>
  <si>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</si>
  <si>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</si>
  <si>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</si>
  <si>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</si>
  <si>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</si>
  <si>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</si>
  <si>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</si>
  <si>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</si>
  <si>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</si>
  <si>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</si>
  <si>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</si>
  <si>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</si>
  <si>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</si>
  <si>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</si>
  <si>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</si>
  <si>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</si>
  <si>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</si>
  <si>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</si>
  <si>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</si>
  <si>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</si>
  <si>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</si>
  <si>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</si>
  <si>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</si>
  <si>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</si>
  <si>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</si>
  <si>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</si>
  <si>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</si>
  <si>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</si>
  <si>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</si>
  <si>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</si>
  <si>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</si>
  <si>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</si>
  <si>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</si>
  <si>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</si>
  <si>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</si>
  <si>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</si>
  <si>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</si>
  <si>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</si>
  <si>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</si>
  <si>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</si>
  <si>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</si>
  <si>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</si>
  <si>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</si>
  <si>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</si>
  <si>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</si>
  <si>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</si>
  <si>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</si>
  <si>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</si>
  <si>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</si>
  <si>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</si>
  <si>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</si>
  <si>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</si>
  <si>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</si>
  <si>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</si>
  <si>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</si>
  <si>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</si>
  <si>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</si>
  <si>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</si>
  <si>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</si>
  <si>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</si>
  <si>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</si>
  <si>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</si>
  <si>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</si>
  <si>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</si>
  <si>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</si>
  <si>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</si>
  <si>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</si>
  <si>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</si>
  <si>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</si>
  <si>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</si>
  <si>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</si>
  <si>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</si>
  <si>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</si>
  <si>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</si>
  <si>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</si>
  <si>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</si>
  <si>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</si>
  <si>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</si>
  <si>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</si>
  <si>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</si>
  <si>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</si>
  <si>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</si>
  <si>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</si>
  <si>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</si>
  <si>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</si>
  <si>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</si>
  <si>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</si>
  <si>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</si>
  <si>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</si>
  <si>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</si>
  <si>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</si>
  <si>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</si>
  <si>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</si>
  <si>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</si>
  <si>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</si>
  <si>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</si>
  <si>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</si>
  <si>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</si>
  <si>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</si>
  <si>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</si>
  <si>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</si>
  <si>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</si>
  <si>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</si>
  <si>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</si>
  <si>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</si>
  <si>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</si>
  <si>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</si>
  <si>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</si>
  <si>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</si>
  <si>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</si>
  <si>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</si>
  <si>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</si>
  <si>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</si>
  <si>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</si>
  <si>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</si>
  <si>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</si>
  <si>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</si>
  <si>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</si>
  <si>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</si>
  <si>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</si>
  <si>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</si>
  <si>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</si>
  <si>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</si>
  <si>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</si>
  <si>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</si>
  <si>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</si>
  <si>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</si>
  <si>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</si>
  <si>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</si>
  <si>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</si>
  <si>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</si>
  <si>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</si>
  <si>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</si>
  <si>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</si>
  <si>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</si>
  <si>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</si>
  <si>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</si>
  <si>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</si>
  <si>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</si>
  <si>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</si>
  <si>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</si>
  <si>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</si>
  <si>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</si>
  <si>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</si>
  <si>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</si>
  <si>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</si>
  <si>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</si>
  <si>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</si>
  <si>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</si>
  <si>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</si>
  <si>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</si>
  <si>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</si>
  <si>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</si>
  <si>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</si>
  <si>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</si>
  <si>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</si>
  <si>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</si>
  <si>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</si>
  <si>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</si>
  <si>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</si>
  <si>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</si>
  <si>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</si>
  <si>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</si>
  <si>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</si>
  <si>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</si>
  <si>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</si>
  <si>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</si>
  <si>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</si>
  <si>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</si>
  <si>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</si>
  <si>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</si>
  <si>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</si>
  <si>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</si>
  <si>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</si>
  <si>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</si>
  <si>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</si>
  <si>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</si>
  <si>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</si>
  <si>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</si>
  <si>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</si>
  <si>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</si>
  <si>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</si>
  <si>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</si>
  <si>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</si>
  <si>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</si>
  <si>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</si>
  <si>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</si>
  <si>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</si>
  <si>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</si>
  <si>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</si>
  <si>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</si>
  <si>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</si>
  <si>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</si>
  <si>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</si>
  <si>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</si>
  <si>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</si>
  <si>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</si>
  <si>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</si>
  <si>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</si>
  <si>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</si>
  <si>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</si>
  <si>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</si>
  <si>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</si>
  <si>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</si>
  <si>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</si>
  <si>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</si>
  <si>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</si>
  <si>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</si>
  <si>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</si>
  <si>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</si>
  <si>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</si>
  <si>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</si>
  <si>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</si>
  <si>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</si>
  <si>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</si>
  <si>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</si>
  <si>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</si>
  <si>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</si>
  <si>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</si>
  <si>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</si>
  <si>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</si>
  <si>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</si>
  <si>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</si>
  <si>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</si>
  <si>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</si>
  <si>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</si>
  <si>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</si>
  <si>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</si>
  <si>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</si>
  <si>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</si>
  <si>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</si>
  <si>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</si>
  <si>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</si>
  <si>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</si>
  <si>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</si>
  <si>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</si>
  <si>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</si>
  <si>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</si>
  <si>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</si>
  <si>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</si>
  <si>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</si>
  <si>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</si>
  <si>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</si>
  <si>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</si>
  <si>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</si>
  <si>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</si>
  <si>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</si>
  <si>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</si>
  <si>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</si>
  <si>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</si>
  <si>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</si>
  <si>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</si>
  <si>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</si>
  <si>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</si>
  <si>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</si>
  <si>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</si>
  <si>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</si>
  <si>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</si>
  <si>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</si>
  <si>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</si>
  <si>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</si>
  <si>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</si>
  <si>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</si>
  <si>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</si>
  <si>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</si>
  <si>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</si>
  <si>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</si>
  <si>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</si>
  <si>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</si>
  <si>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</si>
  <si>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</si>
  <si>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</si>
  <si>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</si>
  <si>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</si>
  <si>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</si>
  <si>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</si>
  <si>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</si>
  <si>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</si>
  <si>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</si>
  <si>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</si>
  <si>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</si>
  <si>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</si>
  <si>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</si>
  <si>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</si>
  <si>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</si>
  <si>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</si>
  <si>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</si>
  <si>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</si>
  <si>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</si>
  <si>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</si>
  <si>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</si>
  <si>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</si>
  <si>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</si>
  <si>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</si>
  <si>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</si>
  <si>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</si>
  <si>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</si>
  <si>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</si>
  <si>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</si>
  <si>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</si>
  <si>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</si>
  <si>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</si>
  <si>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</si>
  <si>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</si>
  <si>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</si>
  <si>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</si>
  <si>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</si>
  <si>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</si>
  <si>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</si>
  <si>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</si>
  <si>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</si>
  <si>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</si>
  <si>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</si>
  <si>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</si>
  <si>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</si>
  <si>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</si>
  <si>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</si>
  <si>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</si>
  <si>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</si>
  <si>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</si>
  <si>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</si>
  <si>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</si>
  <si>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</si>
  <si>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</si>
  <si>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</si>
  <si>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</si>
  <si>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</si>
  <si>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</si>
  <si>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</si>
  <si>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</si>
  <si>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</si>
  <si>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</si>
  <si>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</si>
  <si>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</si>
  <si>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</si>
  <si>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</si>
  <si>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</si>
  <si>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</si>
  <si>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</si>
  <si>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</si>
  <si>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</si>
  <si>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</si>
  <si>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</si>
  <si>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</si>
  <si>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</si>
  <si>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</si>
  <si>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</si>
  <si>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</si>
  <si>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</si>
  <si>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</si>
  <si>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</si>
  <si>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</si>
  <si>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</si>
  <si>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</si>
  <si>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</si>
  <si>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</si>
  <si>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</si>
  <si>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</si>
  <si>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</si>
  <si>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</si>
  <si>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</si>
  <si>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</si>
  <si>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</si>
  <si>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</si>
  <si>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</si>
  <si>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</si>
  <si>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</si>
  <si>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</si>
  <si>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</si>
  <si>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</si>
  <si>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</si>
  <si>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</si>
  <si>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</si>
  <si>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</si>
  <si>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</si>
  <si>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</si>
  <si>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</si>
  <si>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</si>
  <si>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</si>
  <si>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</si>
  <si>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</si>
  <si>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</si>
  <si>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</si>
  <si>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</si>
  <si>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</si>
  <si>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</si>
  <si>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</si>
  <si>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</si>
  <si>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</si>
  <si>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</si>
  <si>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</si>
  <si>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</si>
  <si>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</si>
  <si>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</si>
  <si>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</si>
  <si>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</si>
  <si>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</si>
  <si>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</si>
  <si>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</si>
  <si>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</si>
  <si>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</si>
  <si>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</si>
  <si>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</si>
  <si>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</si>
  <si>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</si>
  <si>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</si>
  <si>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</si>
  <si>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</si>
  <si>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</si>
  <si>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</si>
  <si>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</si>
  <si>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</si>
  <si>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</si>
  <si>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</si>
  <si>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</si>
  <si>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</si>
  <si>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</si>
  <si>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</si>
  <si>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</si>
  <si>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</si>
  <si>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</si>
  <si>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</si>
  <si>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</si>
  <si>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</si>
  <si>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</si>
  <si>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</si>
  <si>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</si>
  <si>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</si>
  <si>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</si>
  <si>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</si>
  <si>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</si>
  <si>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</si>
  <si>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</si>
  <si>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</si>
  <si>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</si>
  <si>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</si>
  <si>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</si>
  <si>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</si>
  <si>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</si>
  <si>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</si>
  <si>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</si>
  <si>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</si>
  <si>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</si>
  <si>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</si>
  <si>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</si>
  <si>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</si>
  <si>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</si>
  <si>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</si>
  <si>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</si>
  <si>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</si>
  <si>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</si>
  <si>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</si>
  <si>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</si>
  <si>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</si>
  <si>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</si>
  <si>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</si>
  <si>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</si>
  <si>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</si>
  <si>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</si>
  <si>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</si>
  <si>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</si>
  <si>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</si>
  <si>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</si>
  <si>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</si>
  <si>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</si>
  <si>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</si>
  <si>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</si>
  <si>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</si>
  <si>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</si>
  <si>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</si>
  <si>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</si>
  <si>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</si>
  <si>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</si>
  <si>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</si>
  <si>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</si>
  <si>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</si>
  <si>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</si>
  <si>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</si>
  <si>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</si>
  <si>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</si>
  <si>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</si>
  <si>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</si>
  <si>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</si>
  <si>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</si>
  <si>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</si>
  <si>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</si>
  <si>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</si>
  <si>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</si>
  <si>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</si>
  <si>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</si>
  <si>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</si>
  <si>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</si>
  <si>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</si>
  <si>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</si>
  <si>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</si>
  <si>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</si>
  <si>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</si>
  <si>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</si>
  <si>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</si>
  <si>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</si>
  <si>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</si>
  <si>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</si>
  <si>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</si>
  <si>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</si>
  <si>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</si>
  <si>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</si>
  <si>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</si>
  <si>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</si>
  <si>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</si>
  <si>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</si>
  <si>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</si>
  <si>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</si>
  <si>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</si>
  <si>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</si>
  <si>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</si>
  <si>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</si>
  <si>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</si>
  <si>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</si>
  <si>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</si>
  <si>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</si>
  <si>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</si>
  <si>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</si>
  <si>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</si>
  <si>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</si>
  <si>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</si>
  <si>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</si>
  <si>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</si>
  <si>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</si>
  <si>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</si>
  <si>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</si>
  <si>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</si>
  <si>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</si>
  <si>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</si>
  <si>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</si>
  <si>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</si>
  <si>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</si>
  <si>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</si>
  <si>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</si>
  <si>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</si>
  <si>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</si>
  <si>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</si>
  <si>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</si>
  <si>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</si>
  <si>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</si>
  <si>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</si>
  <si>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</si>
  <si>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</si>
  <si>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</si>
  <si>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</si>
  <si>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</si>
  <si>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</si>
  <si>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</si>
  <si>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</si>
  <si>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</si>
  <si>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</si>
  <si>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</si>
  <si>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</si>
  <si>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</si>
  <si>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</si>
  <si>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</si>
  <si>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</si>
  <si>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</si>
  <si>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</si>
  <si>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</si>
  <si>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</si>
  <si>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</si>
  <si>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</si>
  <si>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</si>
  <si>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</si>
  <si>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</si>
  <si>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</si>
  <si>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</si>
  <si>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</si>
  <si>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</si>
  <si>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</si>
  <si>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</si>
  <si>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</si>
  <si>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</si>
  <si>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</si>
  <si>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</si>
  <si>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</si>
  <si>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</si>
  <si>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</si>
  <si>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</si>
  <si>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</si>
  <si>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</si>
  <si>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</si>
  <si>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</si>
  <si>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</si>
  <si>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</si>
  <si>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</si>
  <si>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</si>
  <si>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</si>
  <si>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</si>
  <si>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</si>
  <si>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</si>
  <si>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</si>
  <si>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</si>
  <si>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</si>
  <si>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</si>
  <si>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</si>
  <si>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</si>
  <si>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</si>
  <si>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</si>
  <si>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</si>
  <si>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</si>
  <si>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</si>
  <si>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</si>
  <si>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</si>
  <si>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</si>
  <si>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</si>
  <si>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</si>
  <si>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</si>
  <si>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</si>
  <si>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</si>
  <si>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</si>
  <si>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</si>
  <si>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</si>
  <si>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</si>
  <si>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</si>
  <si>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</si>
  <si>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</si>
  <si>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</si>
  <si>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</si>
  <si>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</si>
  <si>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</si>
  <si>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</si>
  <si>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</si>
  <si>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</si>
  <si>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</si>
  <si>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</si>
  <si>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</si>
  <si>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</si>
  <si>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</si>
  <si>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</si>
  <si>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</si>
  <si>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</si>
  <si>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</si>
  <si>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</si>
  <si>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</si>
  <si>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</si>
  <si>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</si>
  <si>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</si>
  <si>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</si>
  <si>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</si>
  <si>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</si>
  <si>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</si>
  <si>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</si>
  <si>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</si>
  <si>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</si>
  <si>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</si>
  <si>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</si>
  <si>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</si>
  <si>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</si>
  <si>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</si>
  <si>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</si>
  <si>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</si>
  <si>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</si>
  <si>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</si>
  <si>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</si>
  <si>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</si>
  <si>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</si>
  <si>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</si>
  <si>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</si>
  <si>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</si>
  <si>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</si>
  <si>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</si>
  <si>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</si>
  <si>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</si>
  <si>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</si>
  <si>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</si>
  <si>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</si>
  <si>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</si>
  <si>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</si>
  <si>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</si>
  <si>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</si>
  <si>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</si>
  <si>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</si>
  <si>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</si>
  <si>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</si>
  <si>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</si>
  <si>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</si>
  <si>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</si>
  <si>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</si>
  <si>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</si>
  <si>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</si>
  <si>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</si>
  <si>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</si>
  <si>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</si>
  <si>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</si>
  <si>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</si>
  <si>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</si>
  <si>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</si>
  <si>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</si>
  <si>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</si>
  <si>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</si>
  <si>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</si>
  <si>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</si>
  <si>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</si>
  <si>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</si>
  <si>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</si>
  <si>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</si>
  <si>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</si>
  <si>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</si>
  <si>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</si>
  <si>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</si>
  <si>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</si>
  <si>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</si>
  <si>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</si>
  <si>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</si>
  <si>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</si>
  <si>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</si>
  <si>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</si>
  <si>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</si>
  <si>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</si>
  <si>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</si>
  <si>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</si>
  <si>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</si>
  <si>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</si>
  <si>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</si>
  <si>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</si>
  <si>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</si>
  <si>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</si>
  <si>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</si>
  <si>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</si>
  <si>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</si>
  <si>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</si>
  <si>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</si>
  <si>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</si>
  <si>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</si>
  <si>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</si>
  <si>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</si>
  <si>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</si>
  <si>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</si>
  <si>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</si>
  <si>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</si>
  <si>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</si>
  <si>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</si>
  <si>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</si>
  <si>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</si>
  <si>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</si>
  <si>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</si>
  <si>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</si>
  <si>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</si>
  <si>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</si>
  <si>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</si>
  <si>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</si>
  <si>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</si>
  <si>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</si>
  <si>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</si>
  <si>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</si>
  <si>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</si>
  <si>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</si>
  <si>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</si>
  <si>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</si>
  <si>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</si>
  <si>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</si>
  <si>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</si>
  <si>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</si>
  <si>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</si>
  <si>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</si>
  <si>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</si>
  <si>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</si>
  <si>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</si>
  <si>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</si>
  <si>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</si>
  <si>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</si>
  <si>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</si>
  <si>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</si>
  <si>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</si>
  <si>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</si>
  <si>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</si>
  <si>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</si>
  <si>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</si>
  <si>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</si>
  <si>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</si>
  <si>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</si>
  <si>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</si>
  <si>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</si>
  <si>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</si>
  <si>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</si>
  <si>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</si>
  <si>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</si>
  <si>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</si>
  <si>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</si>
  <si>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</si>
  <si>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</si>
  <si>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</si>
  <si>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</si>
  <si>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</si>
  <si>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</si>
  <si>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</si>
  <si>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</si>
  <si>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</si>
  <si>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</si>
  <si>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</si>
  <si>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</si>
  <si>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</si>
  <si>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</si>
  <si>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</si>
  <si>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</si>
  <si>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</si>
  <si>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</si>
  <si>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</si>
  <si>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</si>
  <si>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</si>
  <si>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</si>
  <si>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</si>
  <si>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</si>
  <si>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</si>
  <si>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</si>
  <si>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</si>
  <si>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</si>
  <si>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</si>
  <si>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</si>
  <si>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</si>
  <si>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</si>
  <si>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</si>
  <si>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</si>
  <si>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</si>
  <si>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</si>
  <si>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</si>
  <si>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</si>
  <si>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</si>
  <si>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</si>
  <si>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</si>
  <si>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</si>
  <si>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</si>
  <si>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</si>
  <si>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</si>
  <si>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</si>
  <si>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</si>
  <si>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</si>
  <si>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</si>
  <si>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</si>
  <si>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</si>
  <si>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</si>
  <si>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</si>
  <si>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</si>
  <si>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</si>
  <si>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</si>
  <si>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</si>
  <si>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</si>
  <si>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</si>
  <si>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</si>
  <si>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</si>
  <si>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</si>
  <si>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</si>
  <si>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</si>
  <si>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</si>
  <si>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</si>
  <si>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</si>
  <si>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</si>
  <si>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</si>
  <si>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</si>
  <si>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</si>
  <si>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</si>
  <si>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</si>
  <si>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</si>
  <si>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</si>
  <si>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</si>
  <si>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</si>
  <si>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</si>
  <si>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</si>
  <si>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</si>
  <si>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</si>
  <si>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</si>
  <si>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</si>
  <si>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</si>
  <si>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</si>
  <si>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</si>
  <si>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</si>
  <si>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</si>
  <si>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</si>
  <si>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</si>
  <si>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</si>
  <si>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</si>
  <si>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</si>
  <si>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</si>
  <si>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</si>
  <si>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</si>
  <si>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</si>
  <si>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</si>
  <si>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</si>
  <si>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</si>
  <si>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</si>
  <si>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</si>
  <si>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</si>
  <si>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</si>
  <si>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</si>
  <si>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</si>
  <si>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</si>
  <si>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</si>
  <si>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</si>
  <si>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</si>
  <si>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</si>
  <si>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</si>
  <si>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</si>
  <si>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</si>
  <si>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</si>
  <si>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</si>
  <si>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</si>
  <si>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</si>
  <si>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</si>
  <si>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</si>
  <si>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</si>
  <si>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</si>
  <si>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</si>
  <si>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</si>
  <si>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</si>
  <si>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</si>
  <si>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</si>
  <si>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</si>
  <si>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</si>
  <si>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</si>
  <si>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</si>
  <si>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</si>
  <si>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</si>
  <si>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</si>
  <si>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</si>
  <si>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</si>
  <si>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</si>
  <si>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</si>
  <si>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</si>
  <si>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</si>
  <si>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</si>
  <si>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</si>
  <si>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</si>
  <si>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</si>
  <si>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</si>
  <si>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</si>
  <si>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</si>
  <si>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</si>
  <si>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</si>
  <si>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</si>
  <si>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</si>
  <si>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</si>
  <si>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</si>
  <si>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</si>
  <si>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</si>
  <si>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</si>
  <si>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</si>
  <si>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</si>
  <si>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</si>
  <si>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</si>
  <si>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</si>
  <si>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</si>
  <si>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</si>
  <si>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</si>
  <si>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</si>
  <si>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</si>
  <si>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</si>
  <si>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</si>
  <si>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</si>
  <si>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</si>
  <si>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</si>
  <si>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</si>
  <si>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</si>
  <si>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</si>
  <si>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</si>
  <si>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</si>
  <si>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</si>
  <si>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</si>
  <si>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</si>
  <si>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</si>
  <si>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</si>
  <si>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</si>
  <si>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</si>
  <si>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</si>
  <si>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</si>
  <si>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</si>
  <si>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</si>
  <si>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</si>
  <si>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</si>
  <si>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</si>
  <si>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</si>
  <si>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</si>
  <si>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</si>
  <si>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</si>
  <si>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</si>
  <si>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</si>
  <si>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</si>
  <si>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</si>
  <si>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</si>
  <si>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</si>
  <si>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</si>
  <si>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</si>
  <si>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</si>
  <si>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</si>
  <si>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</si>
  <si>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</si>
  <si>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</si>
  <si>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</si>
  <si>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</si>
  <si>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</si>
  <si>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</si>
  <si>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</si>
  <si>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</si>
  <si>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</si>
  <si>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</si>
  <si>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</si>
  <si>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</si>
  <si>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</si>
  <si>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</si>
  <si>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</si>
  <si>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</si>
  <si>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</si>
  <si>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</si>
  <si>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</si>
  <si>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</si>
  <si>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</si>
  <si>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</si>
  <si>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</si>
  <si>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</si>
  <si>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</si>
  <si>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</si>
  <si>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</si>
  <si>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</si>
  <si>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</si>
  <si>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</si>
  <si>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</si>
  <si>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</si>
  <si>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</si>
  <si>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</si>
  <si>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</si>
  <si>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</si>
  <si>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</si>
  <si>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</si>
  <si>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</si>
  <si>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</si>
  <si>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</si>
  <si>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</si>
  <si>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</si>
  <si>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</si>
  <si>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</si>
  <si>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</si>
  <si>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</si>
  <si>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</si>
  <si>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</si>
  <si>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</si>
  <si>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</si>
  <si>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</si>
  <si>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</si>
  <si>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</si>
  <si>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</si>
  <si>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</si>
  <si>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</si>
  <si>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</si>
  <si>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</si>
  <si>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</si>
  <si>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</si>
  <si>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</si>
  <si>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</si>
  <si>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</si>
  <si>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</si>
  <si>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</si>
  <si>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</si>
  <si>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</si>
  <si>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</si>
  <si>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</si>
  <si>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</si>
  <si>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</si>
  <si>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</si>
  <si>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</si>
  <si>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</si>
  <si>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</si>
  <si>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</si>
  <si>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</si>
  <si>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</si>
  <si>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</si>
  <si>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</si>
  <si>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</si>
  <si>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</si>
  <si>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</si>
  <si>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</si>
  <si>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</si>
  <si>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</si>
  <si>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</si>
  <si>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</si>
  <si>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</si>
  <si>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</si>
  <si>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</si>
  <si>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</si>
  <si>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</si>
  <si>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</si>
  <si>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</si>
  <si>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</si>
  <si>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</si>
  <si>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</si>
  <si>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</si>
  <si>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</si>
  <si>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</si>
  <si>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</si>
  <si>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</si>
  <si>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</si>
  <si>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</si>
  <si>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</si>
  <si>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</si>
  <si>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</si>
  <si>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</si>
  <si>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</si>
  <si>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</si>
  <si>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</si>
  <si>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</si>
  <si>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</si>
  <si>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</si>
  <si>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</si>
  <si>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</si>
  <si>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</si>
  <si>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</si>
  <si>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</si>
  <si>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</si>
  <si>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</si>
  <si>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</si>
  <si>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</si>
  <si>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</si>
  <si>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</si>
  <si>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</si>
  <si>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</si>
  <si>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</si>
  <si>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</si>
  <si>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</si>
  <si>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</si>
  <si>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</si>
  <si>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</si>
  <si>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</si>
  <si>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</si>
  <si>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</si>
  <si>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</si>
  <si>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</si>
  <si>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</si>
  <si>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</si>
  <si>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</si>
  <si>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</si>
  <si>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</si>
  <si>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</si>
  <si>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</si>
  <si>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</si>
  <si>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</si>
  <si>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</si>
  <si>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</si>
  <si>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</si>
  <si>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</si>
  <si>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</si>
  <si>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</si>
  <si>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</si>
  <si>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</si>
  <si>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</si>
  <si>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</si>
  <si>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</si>
  <si>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</si>
  <si>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</si>
  <si>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</si>
  <si>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</si>
  <si>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</si>
  <si>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</si>
  <si>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</si>
  <si>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</si>
  <si>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</si>
  <si>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</si>
  <si>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</si>
  <si>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</si>
  <si>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</si>
  <si>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</si>
  <si>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</si>
  <si>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</si>
  <si>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</si>
  <si>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</si>
  <si>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</si>
  <si>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</si>
  <si>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</si>
  <si>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</si>
  <si>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</si>
  <si>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</si>
  <si>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</si>
  <si>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</si>
  <si>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</si>
  <si>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</si>
  <si>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</si>
  <si>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</si>
  <si>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</si>
  <si>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</si>
  <si>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</si>
  <si>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</si>
  <si>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</si>
  <si>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</si>
  <si>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</si>
  <si>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</si>
  <si>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</si>
  <si>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</si>
  <si>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</si>
  <si>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</si>
  <si>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</si>
  <si>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</si>
  <si>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</si>
  <si>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</si>
  <si>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</si>
  <si>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</si>
  <si>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</si>
  <si>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</si>
  <si>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</si>
  <si>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</si>
  <si>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</si>
  <si>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</si>
  <si>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</si>
  <si>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</si>
  <si>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</si>
  <si>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</si>
  <si>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</si>
  <si>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</si>
  <si>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</si>
  <si>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</si>
  <si>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</si>
  <si>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</si>
  <si>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</si>
  <si>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</si>
  <si>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</si>
  <si>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</si>
  <si>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</si>
  <si>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</si>
  <si>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</si>
  <si>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</si>
  <si>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</si>
  <si>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</si>
  <si>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</si>
  <si>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</si>
  <si>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</si>
  <si>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</si>
  <si>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</si>
  <si>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</si>
  <si>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</si>
  <si>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</si>
  <si>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</si>
  <si>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</si>
  <si>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</si>
  <si>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</si>
  <si>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</si>
  <si>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</si>
  <si>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</si>
  <si>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</si>
  <si>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</si>
  <si>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</si>
  <si>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</si>
  <si>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</si>
  <si>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</si>
  <si>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</si>
  <si>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</si>
  <si>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</si>
  <si>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</si>
  <si>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</si>
  <si>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</si>
  <si>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</si>
  <si>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</si>
  <si>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</si>
  <si>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</si>
  <si>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</si>
  <si>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</si>
  <si>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</si>
  <si>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</si>
  <si>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</si>
  <si>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</si>
  <si>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</si>
  <si>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</si>
  <si>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</si>
  <si>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</si>
  <si>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</si>
  <si>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</si>
  <si>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</si>
  <si>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</si>
  <si>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</si>
  <si>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</si>
  <si>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</si>
  <si>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</si>
  <si>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</si>
  <si>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</si>
  <si>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</si>
  <si>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</si>
  <si>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</si>
  <si>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</si>
  <si>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</si>
  <si>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</si>
  <si>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</si>
  <si>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</si>
  <si>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</si>
  <si>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</si>
  <si>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</si>
  <si>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</si>
  <si>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</si>
  <si>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</si>
  <si>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</si>
  <si>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</si>
  <si>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</si>
  <si>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</si>
  <si>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</si>
  <si>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</si>
  <si>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</si>
  <si>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</si>
  <si>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</si>
  <si>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</si>
  <si>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</si>
  <si>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</si>
  <si>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</si>
  <si>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</si>
  <si>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</si>
  <si>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</si>
  <si>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</si>
  <si>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</si>
  <si>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</si>
  <si>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</si>
  <si>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</si>
  <si>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</si>
  <si>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</si>
  <si>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</si>
  <si>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</si>
  <si>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</si>
  <si>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</si>
  <si>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</si>
  <si>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</si>
  <si>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</si>
  <si>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</si>
  <si>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</si>
  <si>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</si>
  <si>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</si>
  <si>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</si>
  <si>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</si>
  <si>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</si>
  <si>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</si>
  <si>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</si>
  <si>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</si>
  <si>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</si>
  <si>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</si>
  <si>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</si>
  <si>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</si>
  <si>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</si>
  <si>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</si>
  <si>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</si>
  <si>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</si>
  <si>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</si>
  <si>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</si>
  <si>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</si>
  <si>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</si>
  <si>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</si>
  <si>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</si>
  <si>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</si>
  <si>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</si>
  <si>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</si>
  <si>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</si>
  <si>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</si>
  <si>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</si>
  <si>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</si>
  <si>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</si>
  <si>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</si>
  <si>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</si>
  <si>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</si>
  <si>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</si>
  <si>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</si>
  <si>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</si>
  <si>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</si>
  <si>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</si>
  <si>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</si>
  <si>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</si>
  <si>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</si>
  <si>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</si>
  <si>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</si>
  <si>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</si>
  <si>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</si>
  <si>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</si>
  <si>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</si>
  <si>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</si>
  <si>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</si>
  <si>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</si>
  <si>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</si>
  <si>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</si>
  <si>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</si>
  <si>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</si>
  <si>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</si>
  <si>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</si>
  <si>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</si>
  <si>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</si>
  <si>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</si>
  <si>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</si>
  <si>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</si>
  <si>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</si>
  <si>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</si>
  <si>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</si>
  <si>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</si>
  <si>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</si>
  <si>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</si>
  <si>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</si>
  <si>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</si>
  <si>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</si>
  <si>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</si>
  <si>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</si>
  <si>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</si>
  <si>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</si>
  <si>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</si>
  <si>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</si>
  <si>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</si>
  <si>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</si>
  <si>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</si>
  <si>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</si>
  <si>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</si>
  <si>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</si>
  <si>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</si>
  <si>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</si>
  <si>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</si>
  <si>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</si>
  <si>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</si>
  <si>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</si>
  <si>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</si>
  <si>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</si>
  <si>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</si>
  <si>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</si>
  <si>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</si>
  <si>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</si>
  <si>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</si>
  <si>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</si>
  <si>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</si>
  <si>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</si>
  <si>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</si>
  <si>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</si>
  <si>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</si>
  <si>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</si>
  <si>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</si>
  <si>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</si>
  <si>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</si>
  <si>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</si>
  <si>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</si>
  <si>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</si>
  <si>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</si>
  <si>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</si>
  <si>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</si>
  <si>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</si>
  <si>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</si>
  <si>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</si>
  <si>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</si>
  <si>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</si>
  <si>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</si>
  <si>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</si>
  <si>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</si>
  <si>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</si>
  <si>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</si>
  <si>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</si>
  <si>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</si>
  <si>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</si>
  <si>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</si>
  <si>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</si>
  <si>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</si>
  <si>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</si>
  <si>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</si>
  <si>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</si>
  <si>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</si>
  <si>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</si>
  <si>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</si>
  <si>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</si>
  <si>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</si>
  <si>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</si>
  <si>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</si>
  <si>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</si>
  <si>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</si>
  <si>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</si>
  <si>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</si>
  <si>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</si>
  <si>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</si>
  <si>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</si>
  <si>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</si>
  <si>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</si>
  <si>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</si>
  <si>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</si>
  <si>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</si>
  <si>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</si>
  <si>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</si>
  <si>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</si>
  <si>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</si>
  <si>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</si>
  <si>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</si>
  <si>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</si>
  <si>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</si>
  <si>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</si>
  <si>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</si>
  <si>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</si>
  <si>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</si>
  <si>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</si>
  <si>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</si>
  <si>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</si>
  <si>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</si>
  <si>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</si>
  <si>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</si>
  <si>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</si>
  <si>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</si>
  <si>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</si>
  <si>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</si>
  <si>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</si>
  <si>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</si>
  <si>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</si>
  <si>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</si>
  <si>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</si>
  <si>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</si>
  <si>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</si>
  <si>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</si>
  <si>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</si>
  <si>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</si>
  <si>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</si>
  <si>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</si>
  <si>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</si>
  <si>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</si>
  <si>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</si>
  <si>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</si>
  <si>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</si>
  <si>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</si>
  <si>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</si>
  <si>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</si>
  <si>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</si>
  <si>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</si>
  <si>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</si>
  <si>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</si>
  <si>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</si>
  <si>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</si>
  <si>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</si>
  <si>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</si>
  <si>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</si>
  <si>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</si>
  <si>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</si>
  <si>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</si>
  <si>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</si>
  <si>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</si>
  <si>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</si>
  <si>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</si>
  <si>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</si>
  <si>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</si>
  <si>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</si>
  <si>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</si>
  <si>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</si>
  <si>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</si>
  <si>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</si>
  <si>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</si>
  <si>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</si>
  <si>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</si>
  <si>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</si>
  <si>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</si>
  <si>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</si>
  <si>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</si>
  <si>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</si>
  <si>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</si>
  <si>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</si>
  <si>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</si>
  <si>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</si>
  <si>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</si>
  <si>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</si>
  <si>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</si>
  <si>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</si>
  <si>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</si>
  <si>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</si>
  <si>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</si>
  <si>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</si>
  <si>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</si>
  <si>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</si>
  <si>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</si>
  <si>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</si>
  <si>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</si>
  <si>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</si>
  <si>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</si>
  <si>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</si>
  <si>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</si>
  <si>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</si>
  <si>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</si>
  <si>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</si>
  <si>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</si>
  <si>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</si>
  <si>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</si>
  <si>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</si>
  <si>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</si>
  <si>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</si>
  <si>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</si>
  <si>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</si>
  <si>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</si>
  <si>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</si>
  <si>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</si>
  <si>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</si>
  <si>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</si>
  <si>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</si>
  <si>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</si>
  <si>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</si>
  <si>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</si>
  <si>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</si>
  <si>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</si>
  <si>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</si>
  <si>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</si>
  <si>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</si>
  <si>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</si>
  <si>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</si>
  <si>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</si>
  <si>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</si>
  <si>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</si>
  <si>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</si>
  <si>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</si>
  <si>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</si>
  <si>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</si>
  <si>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</si>
  <si>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</si>
  <si>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</si>
  <si>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</si>
  <si>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</si>
  <si>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</si>
  <si>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</si>
  <si>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</si>
  <si>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</si>
  <si>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</si>
  <si>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</si>
  <si>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</si>
  <si>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</si>
  <si>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</si>
  <si>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</si>
  <si>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</si>
  <si>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</si>
  <si>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</si>
  <si>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</si>
  <si>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</si>
  <si>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</si>
  <si>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</si>
  <si>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</si>
  <si>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</si>
  <si>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</si>
  <si>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</si>
  <si>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</si>
  <si>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</si>
  <si>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</si>
  <si>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</si>
  <si>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</si>
  <si>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</si>
  <si>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</si>
  <si>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</si>
  <si>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</si>
  <si>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</si>
  <si>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</si>
  <si>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</si>
  <si>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</si>
  <si>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</si>
  <si>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</si>
  <si>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</si>
  <si>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</si>
  <si>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</si>
  <si>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</si>
  <si>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</si>
  <si>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</si>
  <si>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</si>
  <si>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</si>
  <si>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</si>
  <si>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</si>
  <si>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</si>
  <si>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</si>
  <si>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</si>
  <si>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</si>
  <si>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</si>
  <si>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</si>
  <si>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</si>
  <si>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</si>
  <si>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</si>
  <si>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</si>
  <si>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</si>
  <si>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</si>
  <si>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</si>
  <si>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</si>
  <si>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</si>
  <si>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</si>
  <si>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</si>
  <si>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</si>
  <si>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</si>
  <si>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</si>
  <si>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</si>
  <si>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</si>
  <si>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</si>
  <si>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</si>
  <si>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</si>
  <si>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</si>
  <si>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</si>
  <si>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</si>
  <si>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</si>
  <si>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</si>
  <si>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</si>
  <si>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</si>
  <si>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</si>
  <si>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</si>
  <si>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</si>
  <si>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</si>
  <si>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</si>
  <si>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</si>
  <si>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</si>
  <si>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</si>
  <si>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</si>
  <si>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</si>
  <si>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</si>
  <si>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</si>
  <si>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</si>
  <si>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</si>
  <si>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</si>
  <si>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</si>
  <si>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</si>
  <si>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</si>
  <si>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</si>
  <si>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</si>
  <si>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</si>
  <si>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</si>
  <si>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</si>
  <si>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</si>
  <si>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</si>
  <si>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</si>
  <si>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</si>
  <si>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</si>
  <si>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</si>
  <si>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</si>
  <si>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</si>
  <si>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</si>
  <si>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</si>
  <si>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</si>
  <si>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</si>
  <si>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</si>
  <si>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</si>
  <si>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</si>
  <si>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</si>
  <si>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</si>
  <si>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</si>
  <si>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</si>
  <si>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</si>
  <si>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</si>
  <si>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</si>
  <si>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</si>
  <si>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</si>
  <si>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</si>
  <si>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</si>
  <si>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</si>
  <si>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</si>
  <si>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</si>
  <si>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</si>
  <si>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</si>
  <si>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</si>
  <si>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</si>
  <si>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</si>
  <si>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</si>
  <si>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</si>
  <si>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</si>
  <si>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</si>
  <si>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</si>
  <si>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</si>
  <si>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</si>
  <si>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</si>
  <si>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</si>
  <si>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</si>
  <si>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</si>
  <si>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</si>
  <si>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</si>
  <si>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</si>
  <si>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</si>
  <si>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</si>
  <si>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</si>
  <si>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</si>
  <si>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</si>
  <si>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</si>
  <si>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</si>
  <si>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</si>
  <si>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</si>
  <si>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</si>
  <si>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</si>
  <si>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</si>
  <si>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</si>
  <si>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</si>
  <si>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</si>
  <si>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</si>
  <si>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</si>
  <si>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</si>
  <si>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</si>
  <si>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</si>
  <si>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</si>
  <si>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</si>
  <si>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</si>
  <si>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</si>
  <si>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</si>
  <si>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</si>
  <si>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</si>
  <si>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</si>
  <si>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</si>
  <si>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</si>
  <si>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</si>
  <si>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</si>
  <si>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</si>
  <si>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</si>
  <si>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</si>
  <si>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</si>
  <si>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</si>
  <si>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</si>
  <si>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</si>
  <si>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</si>
  <si>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</si>
  <si>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</si>
  <si>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</si>
  <si>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</si>
  <si>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</si>
  <si>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</si>
  <si>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</si>
  <si>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</si>
  <si>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</si>
  <si>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</si>
  <si>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</si>
  <si>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</si>
  <si>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</si>
  <si>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</si>
  <si>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</si>
  <si>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</si>
  <si>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</si>
  <si>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</si>
  <si>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</si>
  <si>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</si>
  <si>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</si>
  <si>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</si>
  <si>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</si>
  <si>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</si>
  <si>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</si>
  <si>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</si>
  <si>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</si>
  <si>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</si>
  <si>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</si>
  <si>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</si>
  <si>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</si>
  <si>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</si>
  <si>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</si>
  <si>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</si>
  <si>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</si>
  <si>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</si>
  <si>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</si>
  <si>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</si>
  <si>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</si>
  <si>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</si>
  <si>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</si>
  <si>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</si>
  <si>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</si>
  <si>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</si>
  <si>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</si>
  <si>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</si>
  <si>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</si>
  <si>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</si>
  <si>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</si>
  <si>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</si>
  <si>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</si>
  <si>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</si>
  <si>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</si>
  <si>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</si>
  <si>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</si>
  <si>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</si>
  <si>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</si>
  <si>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</si>
  <si>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</si>
  <si>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</si>
  <si>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</si>
  <si>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</si>
  <si>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</si>
  <si>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</si>
  <si>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</si>
  <si>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</si>
  <si>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</si>
  <si>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</si>
  <si>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</si>
  <si>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</si>
  <si>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</si>
  <si>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</si>
  <si>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</si>
  <si>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</si>
  <si>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</si>
  <si>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</si>
  <si>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</si>
  <si>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</si>
  <si>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</si>
  <si>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</si>
  <si>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</si>
  <si>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</si>
  <si>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</si>
  <si>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</si>
  <si>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</si>
  <si>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</si>
  <si>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</si>
  <si>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</si>
  <si>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</si>
  <si>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</si>
  <si>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</si>
  <si>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</si>
  <si>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</si>
  <si>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</si>
  <si>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</si>
  <si>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</si>
  <si>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</si>
  <si>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</si>
  <si>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</si>
  <si>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</si>
  <si>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</si>
  <si>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</si>
  <si>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</si>
  <si>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</si>
  <si>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</si>
  <si>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</si>
  <si>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</si>
  <si>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</si>
  <si>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</si>
  <si>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</si>
  <si>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</si>
  <si>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</si>
  <si>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</si>
  <si>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</si>
  <si>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</si>
  <si>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</si>
  <si>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</si>
  <si>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</si>
  <si>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</si>
  <si>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</si>
  <si>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</si>
  <si>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</si>
  <si>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</si>
  <si>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</si>
  <si>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</si>
  <si>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</si>
  <si>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</si>
  <si>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</si>
  <si>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</si>
  <si>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</si>
  <si>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</si>
  <si>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</si>
  <si>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</si>
  <si>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</si>
  <si>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</si>
  <si>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</si>
  <si>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</si>
  <si>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</si>
  <si>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</si>
  <si>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</si>
  <si>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</si>
  <si>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</si>
  <si>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</si>
  <si>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</si>
  <si>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</si>
  <si>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</si>
  <si>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</si>
  <si>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</si>
  <si>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</si>
  <si>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</si>
  <si>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</si>
  <si>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</si>
  <si>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</si>
  <si>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</si>
  <si>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</si>
  <si>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</si>
  <si>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</si>
  <si>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</si>
  <si>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</si>
  <si>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</si>
  <si>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</si>
  <si>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</si>
  <si>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</si>
  <si>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</si>
  <si>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</si>
  <si>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</si>
  <si>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</si>
  <si>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</si>
  <si>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</si>
  <si>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</si>
  <si>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</si>
  <si>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</si>
  <si>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</si>
  <si>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</si>
  <si>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</si>
  <si>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</si>
  <si>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</si>
  <si>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</si>
  <si>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</si>
  <si>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</si>
  <si>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</si>
  <si>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</si>
  <si>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</si>
  <si>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</si>
  <si>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</si>
  <si>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</si>
  <si>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</si>
  <si>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</si>
  <si>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</si>
  <si>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</si>
  <si>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</si>
  <si>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</si>
  <si>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</si>
  <si>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</si>
  <si>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</si>
  <si>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</si>
  <si>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</si>
  <si>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</si>
  <si>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</si>
  <si>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</si>
  <si>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</si>
  <si>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</si>
  <si>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</si>
  <si>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</si>
  <si>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</si>
  <si>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</si>
  <si>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</si>
  <si>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</si>
  <si>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</si>
  <si>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</si>
  <si>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</si>
  <si>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</si>
  <si>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</si>
  <si>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</si>
  <si>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</si>
  <si>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</si>
  <si>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</si>
  <si>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</si>
  <si>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</si>
  <si>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</si>
  <si>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</si>
  <si>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</si>
  <si>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</si>
  <si>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</si>
  <si>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</si>
  <si>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</si>
  <si>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</si>
  <si>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</si>
  <si>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</si>
  <si>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</si>
  <si>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</si>
  <si>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</si>
  <si>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</si>
  <si>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</si>
  <si>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</si>
  <si>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</si>
  <si>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</si>
  <si>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</si>
  <si>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</si>
  <si>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</si>
  <si>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</si>
  <si>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</si>
  <si>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</si>
  <si>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</si>
  <si>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</si>
  <si>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</si>
  <si>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</si>
  <si>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</si>
  <si>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</si>
  <si>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</si>
  <si>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</si>
  <si>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</si>
  <si>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</si>
  <si>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</si>
  <si>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</si>
  <si>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</si>
  <si>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</si>
  <si>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</si>
  <si>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</si>
  <si>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</si>
  <si>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</si>
  <si>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</si>
  <si>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</si>
  <si>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</si>
  <si>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</si>
  <si>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</si>
  <si>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</si>
  <si>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</si>
  <si>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</si>
  <si>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</si>
  <si>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</si>
  <si>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</si>
  <si>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</si>
  <si>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</si>
  <si>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</si>
  <si>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</si>
  <si>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</si>
  <si>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</si>
  <si>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</si>
  <si>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</si>
  <si>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</si>
  <si>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</si>
  <si>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</si>
  <si>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</si>
  <si>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</si>
  <si>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</si>
  <si>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</si>
  <si>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</si>
  <si>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</si>
  <si>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</si>
  <si>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</si>
  <si>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</si>
  <si>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</si>
  <si>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</si>
  <si>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</si>
  <si>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</si>
  <si>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</si>
  <si>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</si>
  <si>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</si>
  <si>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</si>
  <si>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</si>
  <si>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</si>
  <si>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</si>
  <si>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</si>
  <si>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</si>
  <si>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</si>
  <si>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</si>
  <si>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</si>
  <si>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</si>
  <si>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</si>
  <si>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</si>
  <si>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</si>
  <si>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</si>
  <si>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</si>
  <si>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</si>
  <si>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</si>
  <si>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</si>
  <si>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</si>
  <si>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</si>
  <si>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</si>
  <si>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</si>
  <si>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</si>
  <si>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</si>
  <si>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</si>
  <si>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</si>
  <si>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</si>
  <si>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</si>
  <si>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</si>
  <si>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</si>
  <si>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</si>
  <si>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</si>
  <si>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</si>
  <si>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</si>
  <si>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</si>
  <si>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</si>
  <si>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</si>
  <si>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</si>
  <si>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</si>
  <si>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</si>
  <si>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</si>
  <si>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</si>
  <si>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</si>
  <si>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</si>
  <si>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</si>
  <si>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</si>
  <si>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</si>
  <si>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</si>
  <si>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</si>
  <si>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</si>
  <si>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</si>
  <si>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</si>
  <si>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</si>
  <si>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</si>
  <si>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</si>
  <si>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</si>
  <si>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</si>
  <si>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</si>
  <si>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</si>
  <si>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</si>
  <si>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</si>
  <si>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</si>
  <si>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</si>
  <si>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</si>
  <si>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</si>
  <si>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</si>
  <si>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</si>
  <si>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</si>
  <si>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</si>
  <si>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</si>
  <si>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</si>
  <si>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</si>
  <si>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</si>
  <si>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</si>
  <si>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</si>
  <si>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</si>
  <si>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</si>
  <si>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</si>
  <si>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</si>
  <si>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</si>
  <si>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</si>
  <si>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</si>
  <si>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</si>
  <si>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</si>
  <si>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</si>
  <si>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</si>
  <si>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</si>
  <si>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</si>
  <si>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</si>
  <si>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</si>
  <si>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</si>
  <si>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</si>
  <si>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</si>
  <si>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</si>
  <si>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</si>
  <si>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</si>
  <si>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</si>
  <si>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</si>
  <si>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</si>
  <si>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</si>
  <si>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</si>
  <si>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</si>
  <si>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</si>
  <si>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</si>
  <si>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</si>
  <si>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</si>
  <si>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</si>
  <si>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</si>
  <si>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</si>
  <si>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</si>
  <si>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</si>
  <si>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</si>
  <si>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</si>
  <si>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</si>
  <si>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</si>
  <si>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</si>
  <si>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</si>
  <si>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</si>
  <si>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</si>
  <si>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</si>
  <si>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</si>
  <si>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</si>
  <si>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</si>
  <si>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</si>
  <si>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</si>
  <si>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</si>
  <si>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</si>
  <si>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</si>
  <si>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</si>
  <si>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</si>
  <si>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</si>
  <si>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</si>
  <si>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</si>
  <si>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</si>
  <si>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</si>
  <si>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</si>
  <si>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</si>
  <si>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</si>
  <si>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</si>
  <si>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</si>
  <si>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</si>
  <si>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</si>
  <si>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</si>
  <si>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</si>
  <si>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</si>
  <si>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</si>
  <si>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</si>
  <si>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</si>
  <si>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</si>
  <si>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</si>
  <si>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</si>
  <si>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</si>
  <si>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</si>
  <si>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</si>
  <si>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</si>
  <si>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</si>
  <si>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</si>
  <si>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</si>
  <si>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</si>
  <si>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</si>
  <si>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</si>
  <si>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</si>
  <si>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</si>
  <si>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</si>
  <si>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</si>
  <si>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</si>
  <si>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</si>
  <si>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</si>
  <si>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</si>
  <si>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</si>
  <si>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</si>
  <si>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</si>
  <si>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</si>
  <si>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</si>
  <si>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</si>
  <si>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</si>
  <si>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</si>
  <si>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</si>
  <si>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</si>
  <si>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</si>
  <si>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</si>
  <si>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</si>
  <si>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</si>
  <si>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</si>
  <si>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</si>
  <si>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</si>
  <si>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</si>
  <si>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</si>
  <si>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</si>
  <si>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</si>
  <si>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</si>
  <si>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</si>
  <si>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</si>
  <si>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</si>
  <si>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</si>
  <si>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</si>
  <si>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</si>
  <si>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</si>
  <si>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</si>
  <si>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</si>
  <si>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</si>
  <si>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</si>
  <si>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</si>
  <si>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</si>
  <si>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</si>
  <si>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</si>
  <si>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</si>
  <si>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</si>
  <si>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</si>
  <si>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</si>
  <si>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</si>
  <si>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</si>
  <si>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</si>
  <si>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</si>
  <si>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</si>
  <si>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</si>
  <si>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</si>
  <si>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</si>
  <si>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</si>
  <si>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</si>
  <si>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</si>
  <si>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</si>
  <si>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</si>
  <si>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</si>
  <si>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</si>
  <si>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</si>
  <si>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</si>
  <si>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</si>
  <si>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</si>
  <si>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</si>
  <si>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</si>
  <si>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</si>
  <si>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</si>
  <si>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</si>
  <si>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</si>
  <si>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</si>
  <si>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</si>
  <si>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</si>
  <si>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</si>
  <si>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</si>
  <si>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</si>
  <si>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</si>
  <si>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</si>
  <si>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</si>
  <si>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</si>
  <si>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</si>
  <si>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</si>
  <si>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</si>
  <si>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</si>
  <si>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</si>
  <si>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</si>
  <si>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</si>
  <si>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</si>
  <si>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</si>
  <si>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</si>
  <si>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</si>
  <si>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</si>
  <si>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</si>
  <si>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</si>
  <si>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</si>
  <si>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</si>
  <si>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</si>
  <si>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</si>
  <si>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</si>
  <si>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</si>
  <si>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</si>
  <si>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</si>
  <si>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</si>
  <si>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</si>
  <si>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</si>
  <si>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</si>
  <si>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</si>
  <si>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</si>
  <si>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</si>
  <si>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</si>
  <si>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</si>
  <si>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</si>
  <si>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</si>
  <si>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</si>
  <si>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</si>
  <si>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</si>
  <si>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</si>
  <si>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</si>
  <si>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</si>
  <si>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</si>
  <si>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</si>
  <si>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</si>
  <si>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</si>
  <si>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</si>
  <si>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</si>
  <si>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</si>
  <si>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</si>
  <si>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</si>
  <si>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</si>
  <si>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</si>
  <si>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</si>
  <si>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</si>
  <si>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</si>
  <si>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</si>
  <si>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</si>
  <si>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</si>
  <si>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</si>
  <si>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</si>
  <si>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</si>
  <si>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</si>
  <si>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</si>
  <si>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</si>
  <si>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</si>
  <si>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</si>
  <si>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</si>
  <si>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</si>
  <si>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</si>
  <si>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</si>
  <si>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</si>
  <si>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</si>
  <si>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</si>
  <si>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</si>
  <si>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</si>
  <si>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</si>
  <si>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</si>
  <si>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</si>
  <si>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</si>
  <si>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</si>
  <si>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</si>
  <si>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</si>
  <si>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</si>
  <si>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</si>
  <si>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</si>
  <si>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</si>
  <si>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</si>
  <si>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</si>
  <si>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</si>
  <si>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</si>
  <si>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</si>
  <si>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</si>
  <si>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</si>
  <si>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</si>
  <si>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</si>
  <si>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</si>
  <si>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</si>
  <si>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</si>
  <si>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</si>
  <si>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</si>
  <si>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</si>
  <si>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</si>
  <si>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</si>
  <si>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</si>
  <si>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</si>
  <si>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</si>
  <si>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</si>
  <si>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</si>
  <si>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</si>
  <si>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</si>
  <si>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</si>
  <si>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</si>
  <si>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</si>
  <si>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</si>
  <si>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</si>
  <si>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</si>
  <si>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</si>
  <si>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</si>
  <si>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</si>
  <si>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</si>
  <si>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</si>
  <si>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</si>
  <si>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</si>
  <si>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</si>
  <si>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</si>
  <si>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</si>
  <si>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</si>
  <si>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</si>
  <si>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</si>
  <si>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</si>
  <si>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</si>
  <si>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</si>
  <si>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</si>
  <si>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</si>
  <si>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</si>
  <si>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</si>
  <si>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</si>
  <si>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</si>
  <si>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</si>
  <si>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</si>
  <si>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</si>
  <si>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</si>
  <si>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</si>
  <si>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</si>
  <si>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</si>
  <si>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</si>
  <si>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</si>
  <si>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</si>
  <si>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</si>
  <si>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</si>
  <si>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</si>
  <si>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</si>
  <si>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</si>
  <si>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</si>
  <si>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</si>
  <si>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</si>
  <si>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</si>
  <si>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</si>
  <si>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</si>
  <si>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</si>
  <si>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</si>
  <si>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</si>
  <si>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</si>
  <si>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</si>
  <si>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</si>
  <si>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</si>
  <si>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</si>
  <si>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</si>
  <si>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</si>
  <si>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</si>
  <si>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</si>
  <si>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</si>
  <si>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</si>
  <si>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</si>
  <si>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</si>
  <si>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</si>
  <si>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</si>
  <si>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</si>
  <si>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</si>
  <si>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</si>
  <si>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</si>
  <si>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</si>
  <si>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</si>
  <si>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</si>
  <si>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</si>
  <si>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</si>
  <si>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</si>
  <si>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</si>
  <si>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</si>
  <si>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</si>
  <si>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</si>
  <si>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</si>
  <si>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</si>
  <si>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</si>
  <si>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</si>
  <si>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</si>
  <si>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</si>
  <si>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</si>
  <si>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</si>
  <si>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</si>
  <si>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</si>
  <si>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</si>
  <si>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</si>
  <si>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</si>
  <si>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</si>
  <si>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</si>
  <si>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</si>
  <si>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</si>
  <si>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</si>
  <si>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</si>
  <si>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</si>
  <si>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</si>
  <si>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</si>
  <si>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</si>
  <si>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</si>
  <si>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</si>
  <si>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</si>
  <si>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</si>
  <si>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</si>
  <si>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</si>
  <si>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</si>
  <si>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</si>
  <si>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</si>
  <si>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</si>
  <si>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</si>
  <si>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</si>
  <si>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</si>
  <si>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</si>
  <si>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</si>
  <si>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</si>
  <si>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</si>
  <si>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</si>
  <si>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</si>
  <si>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</si>
  <si>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</si>
  <si>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</si>
  <si>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</si>
  <si>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</si>
  <si>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</si>
  <si>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</si>
  <si>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</si>
  <si>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</si>
  <si>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</si>
  <si>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</si>
  <si>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</si>
  <si>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</si>
  <si>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</si>
  <si>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</si>
  <si>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</si>
  <si>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</si>
  <si>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</si>
  <si>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</si>
  <si>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</si>
  <si>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</si>
  <si>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</si>
  <si>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</si>
  <si>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</si>
  <si>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</si>
  <si>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</si>
  <si>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</si>
  <si>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</si>
  <si>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</si>
  <si>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</si>
  <si>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</si>
  <si>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</si>
  <si>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</si>
  <si>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</si>
  <si>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</si>
  <si>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</si>
  <si>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</si>
  <si>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</si>
  <si>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</si>
  <si>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</si>
  <si>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</si>
  <si>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</si>
  <si>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</si>
  <si>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</si>
  <si>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</si>
  <si>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</si>
  <si>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</si>
  <si>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</si>
  <si>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</si>
  <si>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</si>
  <si>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</si>
  <si>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</si>
  <si>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</si>
  <si>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</si>
  <si>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</si>
  <si>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</si>
  <si>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</si>
  <si>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</si>
  <si>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</si>
  <si>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</si>
  <si>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</si>
  <si>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</si>
  <si>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</si>
  <si>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</si>
  <si>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</si>
  <si>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</si>
  <si>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</si>
  <si>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</si>
  <si>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</si>
  <si>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</si>
  <si>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</si>
  <si>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</si>
  <si>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</si>
  <si>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</si>
  <si>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</si>
  <si>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</si>
  <si>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</si>
  <si>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</si>
  <si>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</si>
  <si>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</si>
  <si>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</si>
  <si>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</si>
  <si>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</si>
  <si>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</si>
  <si>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</si>
  <si>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</si>
  <si>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</si>
  <si>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</si>
  <si>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</si>
  <si>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</si>
  <si>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</si>
  <si>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</si>
  <si>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</si>
  <si>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</si>
  <si>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</si>
  <si>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</si>
  <si>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</si>
  <si>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</si>
  <si>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</si>
  <si>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</si>
  <si>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</si>
  <si>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</si>
  <si>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</si>
  <si>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</si>
  <si>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</si>
  <si>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</si>
  <si>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</si>
  <si>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</si>
  <si>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</si>
  <si>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</si>
  <si>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</si>
  <si>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</si>
  <si>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</si>
  <si>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</si>
  <si>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</si>
  <si>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</si>
  <si>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</si>
  <si>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</si>
  <si>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</si>
  <si>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</si>
  <si>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</si>
  <si>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</si>
  <si>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</si>
  <si>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</si>
  <si>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</si>
  <si>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</si>
  <si>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</si>
  <si>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</si>
  <si>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</si>
  <si>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</si>
  <si>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</si>
  <si>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</si>
  <si>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</si>
  <si>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</si>
  <si>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</si>
  <si>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</si>
  <si>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</si>
  <si>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</si>
  <si>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</si>
  <si>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</si>
  <si>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</si>
  <si>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</si>
  <si>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</si>
  <si>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</si>
  <si>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</si>
  <si>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</si>
  <si>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</si>
  <si>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</si>
  <si>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</si>
  <si>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</si>
  <si>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</si>
  <si>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</si>
  <si>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</si>
  <si>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</si>
  <si>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</si>
  <si>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</si>
  <si>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</si>
  <si>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</si>
  <si>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</si>
  <si>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</si>
  <si>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</si>
  <si>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</si>
  <si>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</si>
  <si>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</si>
  <si>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</si>
  <si>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</si>
  <si>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</si>
  <si>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</si>
  <si>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</si>
  <si>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</si>
  <si>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</si>
  <si>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</si>
  <si>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</si>
  <si>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</si>
  <si>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</si>
  <si>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</si>
  <si>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</si>
  <si>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</si>
  <si>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</si>
  <si>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</si>
  <si>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</si>
  <si>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</si>
  <si>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</si>
  <si>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</si>
  <si>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</si>
  <si>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</si>
  <si>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</si>
  <si>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</si>
  <si>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</si>
  <si>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</si>
  <si>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</si>
  <si>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</si>
  <si>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</si>
  <si>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</si>
  <si>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</si>
  <si>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</si>
  <si>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</si>
  <si>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</si>
  <si>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</si>
  <si>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</si>
  <si>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</si>
  <si>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</si>
  <si>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</si>
  <si>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</si>
  <si>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</si>
  <si>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</si>
  <si>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</si>
  <si>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</si>
  <si>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</si>
  <si>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</si>
  <si>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</si>
  <si>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</si>
  <si>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</si>
  <si>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</si>
  <si>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</si>
  <si>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</si>
  <si>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</si>
  <si>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</si>
  <si>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</si>
  <si>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</si>
  <si>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</si>
  <si>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</si>
  <si>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</si>
  <si>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</si>
  <si>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</si>
  <si>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</si>
  <si>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</si>
  <si>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</si>
  <si>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</si>
  <si>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</si>
  <si>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</si>
  <si>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</si>
  <si>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</si>
  <si>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</si>
  <si>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</si>
  <si>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</si>
  <si>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</si>
  <si>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</si>
  <si>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</si>
  <si>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</si>
  <si>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</si>
  <si>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</si>
  <si>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</si>
  <si>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</si>
  <si>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</si>
  <si>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</si>
  <si>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</si>
  <si>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</si>
  <si>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</si>
  <si>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</si>
  <si>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</si>
  <si>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</si>
  <si>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</si>
  <si>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</si>
  <si>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</si>
  <si>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</si>
  <si>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</si>
  <si>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</si>
  <si>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</si>
  <si>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</si>
  <si>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</si>
  <si>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</si>
  <si>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</si>
  <si>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</si>
  <si>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</si>
  <si>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</si>
  <si>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</si>
  <si>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</si>
  <si>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</si>
  <si>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</si>
  <si>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</si>
  <si>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</si>
  <si>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</si>
  <si>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</si>
  <si>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</si>
  <si>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</si>
  <si>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</si>
  <si>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</si>
  <si>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</si>
  <si>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</si>
  <si>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</si>
  <si>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</si>
  <si>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</si>
  <si>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</si>
  <si>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</si>
  <si>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</si>
  <si>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</si>
  <si>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</si>
  <si>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</si>
  <si>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</si>
  <si>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</si>
  <si>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</si>
  <si>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</si>
  <si>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</si>
  <si>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</si>
  <si>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</si>
  <si>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</si>
  <si>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</si>
  <si>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</si>
  <si>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</si>
  <si>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</si>
  <si>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</si>
  <si>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</si>
  <si>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</si>
  <si>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</si>
  <si>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</si>
  <si>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</si>
  <si>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</si>
  <si>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</si>
  <si>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</si>
  <si>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</si>
  <si>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</si>
  <si>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</si>
  <si>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</si>
  <si>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</si>
  <si>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</si>
  <si>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</si>
  <si>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</si>
  <si>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</si>
  <si>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</si>
  <si>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</si>
  <si>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</si>
  <si>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</si>
  <si>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</si>
  <si>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</si>
  <si>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</si>
  <si>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</si>
  <si>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</si>
  <si>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</si>
  <si>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</si>
  <si>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</si>
  <si>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</si>
  <si>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</si>
  <si>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</si>
  <si>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</si>
  <si>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</si>
  <si>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</si>
  <si>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</si>
  <si>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</si>
  <si>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</si>
  <si>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</si>
  <si>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</si>
  <si>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</si>
  <si>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</si>
  <si>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</si>
  <si>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</si>
  <si>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</si>
  <si>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</si>
  <si>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</si>
  <si>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</si>
  <si>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</si>
  <si>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</si>
  <si>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</si>
  <si>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</si>
  <si>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</si>
  <si>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</si>
  <si>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</si>
  <si>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</si>
  <si>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</si>
  <si>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</si>
  <si>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</si>
  <si>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</si>
  <si>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</si>
  <si>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</si>
  <si>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</si>
  <si>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</si>
  <si>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</si>
  <si>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</si>
  <si>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</si>
  <si>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</si>
  <si>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</si>
  <si>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</si>
  <si>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</si>
  <si>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</si>
  <si>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</si>
  <si>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</si>
  <si>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</si>
  <si>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</si>
  <si>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</si>
  <si>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</si>
  <si>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</si>
  <si>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</si>
  <si>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</si>
  <si>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</si>
  <si>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</si>
  <si>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</si>
  <si>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</si>
  <si>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</si>
  <si>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</si>
  <si>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</si>
  <si>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</si>
  <si>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</si>
  <si>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</si>
  <si>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</si>
  <si>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</si>
  <si>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</si>
  <si>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</si>
  <si>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</si>
  <si>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</si>
  <si>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</si>
  <si>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</si>
  <si>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</si>
  <si>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</si>
  <si>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</si>
  <si>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</si>
  <si>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</si>
  <si>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</si>
  <si>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</si>
  <si>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</si>
  <si>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</si>
  <si>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</si>
  <si>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</si>
  <si>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</si>
  <si>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</si>
  <si>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</si>
  <si>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</si>
  <si>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</si>
  <si>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</si>
  <si>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</si>
  <si>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</si>
  <si>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</si>
  <si>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</si>
  <si>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</si>
  <si>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</si>
  <si>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</si>
  <si>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</si>
  <si>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</si>
  <si>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</si>
  <si>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</si>
  <si>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</si>
  <si>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</si>
  <si>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</si>
  <si>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</si>
  <si>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</si>
  <si>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</si>
  <si>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</si>
  <si>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</si>
  <si>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</si>
  <si>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</si>
  <si>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</si>
  <si>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</si>
  <si>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</si>
  <si>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</si>
  <si>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</si>
  <si>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</si>
  <si>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</si>
  <si>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</si>
  <si>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</si>
  <si>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</si>
  <si>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</si>
  <si>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</si>
  <si>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</si>
  <si>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</si>
  <si>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</si>
  <si>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</si>
  <si>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</si>
  <si>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</si>
  <si>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</si>
  <si>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</si>
  <si>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</si>
  <si>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</si>
  <si>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</si>
  <si>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</si>
  <si>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</si>
  <si>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</si>
  <si>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</si>
  <si>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</si>
  <si>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</si>
  <si>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</si>
  <si>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</si>
  <si>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</si>
  <si>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</si>
  <si>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</si>
  <si>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</si>
  <si>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</si>
  <si>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</si>
  <si>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</si>
  <si>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</si>
  <si>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</si>
  <si>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</si>
  <si>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</si>
  <si>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</si>
  <si>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</si>
  <si>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</si>
  <si>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</si>
  <si>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</si>
  <si>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</si>
  <si>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</si>
  <si>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</si>
  <si>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</si>
  <si>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</si>
  <si>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</si>
  <si>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</si>
  <si>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</si>
  <si>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</si>
  <si>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</si>
  <si>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</si>
  <si>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</si>
  <si>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</si>
  <si>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</si>
  <si>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</si>
  <si>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</si>
  <si>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</si>
  <si>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</si>
  <si>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</si>
  <si>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</si>
  <si>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</si>
  <si>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</si>
  <si>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</si>
  <si>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</si>
  <si>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</si>
  <si>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</si>
  <si>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</si>
  <si>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</si>
  <si>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</si>
  <si>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</si>
  <si>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</si>
  <si>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</si>
  <si>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</si>
  <si>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</si>
  <si>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</si>
  <si>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</si>
  <si>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</si>
  <si>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</si>
  <si>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</si>
  <si>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</si>
  <si>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</si>
  <si>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</si>
  <si>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</si>
  <si>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</si>
  <si>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</si>
  <si>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</si>
  <si>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</si>
  <si>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</si>
  <si>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</si>
  <si>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</si>
  <si>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</si>
  <si>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</si>
  <si>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</si>
  <si>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</si>
  <si>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</si>
  <si>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</si>
  <si>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</si>
  <si>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</si>
  <si>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</si>
  <si>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</si>
  <si>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</si>
  <si>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</si>
  <si>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</si>
  <si>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</si>
  <si>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</si>
  <si>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</si>
  <si>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</si>
  <si>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</si>
  <si>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</si>
  <si>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</si>
  <si>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</si>
  <si>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</si>
  <si>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</si>
  <si>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</si>
  <si>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</si>
  <si>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</si>
  <si>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</si>
  <si>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</si>
  <si>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</si>
  <si>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</si>
  <si>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</si>
  <si>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</si>
  <si>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</si>
  <si>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</si>
  <si>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</si>
  <si>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</si>
  <si>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</si>
  <si>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</si>
  <si>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</si>
  <si>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</si>
  <si>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</si>
  <si>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</si>
  <si>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</si>
  <si>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</si>
  <si>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</si>
  <si>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</si>
  <si>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</si>
  <si>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</si>
  <si>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</si>
  <si>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</si>
  <si>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</si>
  <si>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</si>
  <si>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</si>
  <si>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</si>
  <si>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</si>
  <si>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</si>
  <si>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</si>
  <si>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</si>
  <si>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</si>
  <si>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</si>
  <si>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</si>
  <si>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</si>
  <si>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</si>
  <si>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</si>
  <si>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</si>
  <si>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</si>
  <si>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</si>
  <si>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</si>
  <si>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</si>
  <si>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</si>
  <si>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</si>
  <si>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</si>
  <si>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</si>
  <si>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</si>
  <si>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</si>
  <si>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</si>
  <si>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</si>
  <si>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</si>
  <si>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</si>
  <si>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</si>
  <si>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</si>
  <si>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</si>
  <si>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</si>
  <si>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</si>
  <si>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</si>
  <si>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</si>
  <si>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</si>
  <si>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</si>
  <si>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</si>
  <si>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</si>
  <si>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</si>
  <si>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</si>
  <si>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</si>
  <si>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</si>
  <si>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</si>
  <si>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</si>
  <si>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</si>
  <si>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</si>
  <si>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</si>
  <si>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</si>
  <si>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</si>
  <si>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</si>
  <si>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</si>
  <si>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</si>
  <si>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</si>
  <si>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</si>
  <si>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</si>
  <si>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</si>
  <si>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</si>
  <si>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</si>
  <si>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</si>
  <si>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</si>
  <si>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</si>
  <si>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</si>
  <si>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</si>
  <si>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</si>
  <si>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</si>
  <si>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</si>
  <si>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</si>
  <si>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</si>
  <si>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</si>
  <si>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</si>
  <si>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</si>
  <si>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</si>
  <si>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</si>
  <si>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</si>
  <si>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</si>
  <si>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</si>
  <si>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</si>
  <si>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</si>
  <si>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</si>
  <si>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</si>
  <si>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</si>
  <si>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</si>
  <si>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</si>
  <si>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</si>
  <si>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</si>
  <si>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</si>
  <si>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</si>
  <si>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</si>
  <si>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</si>
  <si>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</si>
  <si>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</si>
  <si>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</si>
  <si>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</si>
  <si>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</si>
  <si>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</si>
  <si>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</si>
  <si>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</si>
  <si>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</si>
  <si>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</si>
  <si>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</si>
  <si>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</si>
  <si>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</si>
  <si>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</si>
  <si>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</si>
  <si>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</si>
  <si>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</si>
  <si>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</si>
  <si>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</si>
  <si>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</si>
  <si>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</si>
  <si>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</si>
  <si>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</si>
  <si>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</si>
  <si>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</si>
  <si>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</si>
  <si>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</si>
  <si>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</si>
  <si>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</si>
  <si>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</si>
  <si>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</si>
  <si>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</si>
  <si>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</si>
  <si>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</si>
  <si>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</si>
  <si>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</si>
  <si>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</si>
  <si>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</si>
  <si>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</si>
  <si>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</si>
  <si>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</si>
  <si>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</si>
  <si>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</si>
  <si>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</si>
  <si>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</si>
  <si>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</si>
  <si>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</si>
  <si>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</si>
  <si>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</si>
  <si>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</si>
  <si>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</si>
  <si>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</si>
  <si>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</si>
  <si>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</si>
  <si>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</si>
  <si>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</si>
  <si>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</si>
  <si>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</si>
  <si>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</si>
  <si>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</si>
  <si>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</si>
  <si>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</si>
  <si>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</si>
  <si>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</si>
  <si>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</si>
  <si>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</si>
  <si>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</si>
  <si>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</si>
  <si>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</si>
  <si>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</si>
  <si>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</si>
  <si>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</si>
  <si>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</si>
  <si>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</si>
  <si>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</si>
  <si>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</si>
  <si>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</si>
  <si>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</si>
  <si>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</si>
  <si>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</si>
  <si>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</si>
  <si>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</si>
  <si>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</si>
  <si>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</si>
  <si>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</si>
  <si>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</si>
  <si>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</si>
  <si>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</si>
  <si>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</si>
  <si>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</si>
  <si>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</si>
  <si>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</si>
  <si>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</si>
  <si>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</si>
  <si>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</si>
  <si>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</si>
  <si>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</si>
  <si>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</si>
  <si>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</si>
  <si>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</si>
  <si>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</si>
  <si>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</si>
  <si>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</si>
  <si>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</si>
  <si>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</si>
  <si>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</si>
  <si>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</si>
  <si>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</si>
  <si>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</si>
  <si>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</si>
  <si>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</si>
  <si>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</si>
  <si>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</si>
  <si>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</si>
  <si>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</si>
  <si>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</si>
  <si>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</si>
  <si>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</si>
  <si>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</si>
  <si>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</si>
  <si>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</si>
  <si>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</si>
  <si>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</si>
  <si>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</si>
  <si>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</si>
  <si>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</si>
  <si>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</si>
  <si>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</si>
  <si>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</si>
  <si>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</si>
  <si>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</si>
  <si>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</si>
  <si>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</si>
  <si>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</si>
  <si>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</si>
  <si>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</si>
  <si>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</si>
  <si>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</si>
  <si>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</si>
  <si>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</si>
  <si>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</si>
  <si>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</si>
  <si>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</si>
  <si>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</si>
  <si>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</si>
  <si>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</si>
  <si>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</si>
  <si>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</si>
  <si>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</si>
  <si>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</si>
  <si>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</si>
  <si>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</si>
  <si>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</si>
  <si>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</si>
  <si>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</si>
  <si>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</si>
  <si>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</si>
  <si>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</si>
  <si>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</si>
  <si>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</si>
  <si>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</si>
  <si>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</si>
  <si>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</si>
  <si>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</si>
  <si>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</si>
  <si>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</si>
  <si>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</si>
  <si>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</si>
  <si>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</si>
  <si>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</si>
  <si>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</si>
  <si>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</si>
  <si>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</si>
  <si>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</si>
  <si>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</si>
  <si>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</si>
  <si>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</si>
  <si>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</si>
  <si>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</si>
  <si>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</si>
  <si>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</si>
  <si>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</si>
  <si>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</si>
  <si>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</si>
  <si>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</si>
  <si>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</si>
  <si>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</si>
  <si>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</si>
  <si>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</si>
  <si>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</si>
  <si>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</si>
  <si>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</si>
  <si>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</si>
  <si>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</si>
  <si>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</si>
  <si>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</si>
  <si>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</si>
  <si>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</si>
  <si>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</si>
  <si>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</si>
  <si>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</si>
  <si>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</si>
  <si>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</si>
  <si>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</si>
  <si>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</si>
  <si>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</si>
  <si>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</si>
  <si>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</si>
  <si>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</si>
  <si>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</si>
  <si>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</si>
  <si>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</si>
  <si>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</si>
  <si>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</si>
  <si>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</si>
  <si>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</si>
  <si>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</si>
  <si>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</si>
  <si>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</si>
  <si>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</si>
  <si>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</si>
  <si>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</si>
  <si>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</si>
  <si>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</si>
  <si>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</si>
  <si>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</si>
  <si>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</si>
  <si>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</si>
  <si>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</si>
  <si>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</si>
  <si>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</si>
  <si>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</si>
  <si>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</si>
  <si>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</si>
  <si>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</si>
  <si>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</si>
  <si>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</si>
  <si>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</si>
  <si>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</si>
  <si>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</si>
  <si>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</si>
  <si>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</si>
  <si>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</si>
  <si>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</si>
  <si>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</si>
  <si>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</si>
  <si>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</si>
  <si>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</si>
  <si>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</si>
  <si>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</si>
  <si>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</si>
  <si>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</si>
  <si>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</si>
  <si>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</si>
  <si>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</si>
  <si>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</si>
  <si>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</si>
  <si>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</si>
  <si>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</si>
  <si>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</si>
  <si>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</si>
  <si>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</si>
  <si>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</si>
  <si>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</si>
  <si>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</si>
  <si>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</si>
  <si>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</si>
  <si>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</si>
  <si>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</si>
  <si>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</si>
  <si>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</si>
  <si>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</si>
  <si>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</si>
  <si>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</si>
  <si>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</si>
  <si>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</si>
  <si>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</si>
  <si>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</si>
  <si>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</si>
  <si>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</si>
  <si>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</si>
  <si>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</si>
  <si>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</si>
  <si>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</si>
  <si>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</si>
  <si>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</si>
  <si>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</si>
  <si>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</si>
  <si>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</si>
  <si>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</si>
  <si>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</si>
  <si>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</si>
  <si>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</si>
  <si>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</si>
  <si>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</si>
  <si>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</si>
  <si>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</si>
  <si>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</si>
  <si>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</si>
  <si>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</si>
  <si>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</si>
  <si>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</si>
  <si>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</si>
  <si>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</si>
  <si>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</si>
  <si>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</si>
  <si>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</si>
  <si>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</si>
  <si>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</si>
  <si>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</si>
  <si>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</si>
  <si>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</si>
  <si>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</si>
  <si>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</si>
  <si>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</si>
  <si>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</si>
  <si>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</si>
  <si>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</si>
  <si>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</si>
  <si>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</si>
  <si>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</si>
  <si>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</si>
  <si>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</si>
  <si>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</si>
  <si>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</si>
  <si>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</si>
  <si>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</si>
  <si>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</si>
  <si>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</si>
  <si>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</si>
  <si>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</si>
  <si>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</si>
  <si>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</si>
  <si>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</si>
  <si>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</si>
  <si>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</si>
  <si>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</si>
  <si>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</si>
  <si>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</si>
  <si>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</si>
  <si>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</si>
  <si>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</si>
  <si>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</si>
  <si>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</si>
  <si>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</si>
  <si>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</si>
  <si>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</si>
  <si>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</si>
  <si>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</si>
  <si>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</si>
  <si>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</si>
  <si>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</si>
  <si>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</si>
  <si>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</si>
  <si>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</si>
  <si>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</si>
  <si>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</si>
  <si>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</si>
  <si>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</si>
  <si>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</si>
  <si>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</si>
  <si>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</si>
  <si>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</si>
  <si>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</si>
  <si>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</si>
  <si>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</si>
  <si>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</si>
  <si>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</si>
  <si>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</si>
  <si>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</si>
  <si>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</si>
  <si>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</si>
  <si>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</si>
  <si>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</si>
  <si>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</si>
  <si>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</si>
  <si>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</si>
  <si>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</si>
  <si>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</si>
  <si>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</si>
  <si>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</si>
  <si>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</si>
  <si>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</si>
  <si>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</si>
  <si>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</si>
  <si>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</si>
  <si>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</si>
  <si>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</si>
  <si>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</si>
  <si>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</si>
  <si>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</si>
  <si>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</si>
  <si>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</si>
  <si>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</si>
  <si>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</si>
  <si>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</si>
  <si>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</si>
  <si>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</si>
  <si>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</si>
  <si>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</si>
  <si>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</si>
  <si>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</si>
  <si>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</si>
  <si>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</si>
  <si>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</si>
  <si>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</si>
  <si>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</si>
  <si>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</si>
  <si>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</si>
  <si>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</si>
  <si>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</si>
  <si>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</si>
  <si>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</si>
  <si>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</si>
  <si>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</si>
  <si>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</si>
  <si>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</si>
  <si>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</si>
  <si>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</si>
  <si>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</si>
  <si>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</si>
  <si>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</si>
  <si>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</si>
  <si>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</si>
  <si>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</si>
  <si>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</si>
  <si>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</si>
  <si>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</si>
  <si>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</si>
  <si>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</si>
  <si>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</si>
  <si>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</si>
  <si>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</si>
  <si>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</si>
  <si>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</si>
  <si>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</si>
  <si>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</si>
  <si>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</si>
  <si>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</si>
  <si>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</si>
  <si>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</si>
  <si>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</si>
  <si>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</si>
  <si>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</si>
  <si>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</si>
  <si>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</si>
  <si>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</si>
  <si>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</si>
  <si>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</si>
  <si>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</si>
  <si>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</si>
  <si>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</si>
  <si>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</si>
  <si>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</si>
  <si>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</si>
  <si>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</si>
  <si>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</si>
  <si>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</si>
  <si>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</si>
  <si>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</si>
  <si>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</si>
  <si>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</si>
  <si>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</si>
  <si>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</si>
  <si>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</si>
  <si>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</si>
  <si>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</si>
  <si>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</si>
  <si>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</si>
  <si>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</si>
  <si>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</si>
  <si>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</si>
  <si>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</si>
  <si>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</si>
  <si>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</si>
  <si>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</si>
  <si>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</si>
  <si>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</si>
  <si>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</si>
  <si>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</si>
  <si>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</si>
  <si>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</si>
  <si>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</si>
  <si>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</si>
  <si>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</si>
  <si>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</si>
  <si>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</si>
  <si>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</si>
  <si>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</si>
  <si>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</si>
  <si>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</si>
  <si>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</si>
  <si>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</si>
  <si>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</si>
  <si>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</si>
  <si>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</si>
  <si>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</si>
  <si>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</si>
  <si>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</si>
  <si>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</si>
  <si>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</si>
  <si>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</si>
  <si>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</si>
  <si>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</si>
  <si>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</si>
  <si>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</si>
  <si>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</si>
  <si>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</si>
  <si>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</si>
  <si>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</si>
  <si>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</si>
  <si>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</si>
  <si>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</si>
  <si>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</si>
  <si>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</si>
  <si>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</si>
  <si>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</si>
  <si>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</si>
  <si>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</si>
  <si>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</si>
  <si>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</si>
  <si>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</si>
  <si>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</si>
  <si>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</si>
  <si>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</si>
  <si>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</si>
  <si>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</si>
  <si>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</si>
  <si>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</si>
  <si>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</si>
  <si>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</si>
  <si>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</si>
  <si>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</si>
  <si>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</si>
  <si>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</si>
  <si>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</si>
  <si>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</si>
  <si>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</si>
  <si>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</si>
  <si>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</si>
  <si>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</si>
  <si>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</si>
  <si>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</si>
  <si>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</si>
  <si>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</si>
  <si>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</si>
  <si>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</si>
  <si>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</si>
  <si>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</si>
  <si>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</si>
  <si>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</si>
  <si>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</si>
  <si>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</si>
  <si>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</si>
  <si>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</si>
  <si>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</si>
  <si>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</si>
  <si>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</si>
  <si>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</si>
  <si>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</si>
  <si>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</si>
  <si>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</si>
  <si>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</si>
  <si>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</si>
  <si>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</si>
  <si>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</si>
  <si>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</si>
  <si>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</si>
  <si>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</si>
  <si>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</si>
  <si>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</si>
  <si>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</si>
  <si>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</si>
  <si>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</si>
  <si>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</si>
  <si>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</si>
  <si>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</si>
  <si>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</si>
  <si>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</si>
  <si>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</si>
  <si>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</si>
  <si>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</si>
  <si>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</si>
  <si>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</si>
  <si>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</si>
  <si>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</si>
  <si>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</si>
  <si>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</si>
  <si>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</si>
  <si>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</si>
  <si>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</si>
  <si>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</si>
  <si>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</si>
  <si>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</si>
  <si>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</si>
  <si>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</si>
  <si>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</si>
  <si>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</si>
  <si>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</si>
  <si>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</si>
  <si>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</si>
  <si>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</si>
  <si>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</si>
  <si>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</si>
  <si>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</si>
  <si>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</si>
  <si>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</si>
  <si>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</si>
  <si>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</si>
  <si>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</si>
  <si>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</si>
  <si>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</si>
  <si>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</si>
  <si>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</si>
  <si>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</si>
  <si>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</si>
  <si>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</si>
  <si>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</si>
  <si>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</si>
  <si>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</si>
  <si>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</si>
  <si>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</si>
  <si>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</si>
  <si>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</si>
  <si>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</si>
  <si>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</si>
  <si>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</si>
  <si>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</si>
  <si>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</si>
  <si>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</si>
  <si>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</si>
  <si>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</si>
  <si>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</si>
  <si>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</si>
  <si>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</si>
  <si>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</si>
  <si>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</si>
  <si>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</si>
  <si>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</si>
  <si>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</si>
  <si>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</si>
  <si>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</si>
  <si>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</si>
  <si>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</si>
  <si>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</si>
  <si>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</si>
  <si>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</si>
  <si>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</si>
  <si>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</si>
  <si>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</si>
  <si>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</si>
  <si>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</si>
  <si>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</si>
  <si>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</si>
  <si>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</si>
  <si>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</si>
  <si>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</si>
  <si>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</si>
  <si>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</si>
  <si>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</si>
  <si>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</si>
  <si>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</si>
  <si>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</si>
  <si>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</si>
  <si>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</si>
  <si>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</si>
  <si>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</si>
  <si>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</si>
  <si>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</si>
  <si>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</si>
  <si>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</si>
  <si>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</si>
  <si>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</si>
  <si>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</si>
  <si>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</si>
  <si>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</si>
  <si>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</si>
  <si>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</si>
  <si>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</si>
  <si>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</si>
  <si>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</si>
  <si>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</si>
  <si>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</si>
  <si>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</si>
  <si>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</si>
  <si>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</si>
  <si>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</si>
  <si>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</si>
  <si>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</si>
  <si>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</si>
  <si>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</si>
  <si>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</si>
  <si>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</si>
  <si>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</si>
  <si>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</si>
  <si>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</si>
  <si>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</si>
  <si>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</si>
  <si>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</si>
  <si>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</si>
  <si>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</si>
  <si>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</si>
  <si>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</si>
  <si>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</si>
  <si>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</si>
  <si>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</si>
  <si>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</si>
  <si>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</si>
  <si>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</si>
  <si>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</si>
  <si>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</si>
  <si>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</si>
  <si>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</si>
  <si>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</si>
  <si>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</si>
  <si>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</si>
  <si>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</si>
  <si>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</si>
  <si>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</si>
  <si>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</si>
  <si>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</si>
  <si>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</si>
  <si>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</si>
  <si>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</si>
  <si>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</si>
  <si>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</si>
  <si>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</si>
  <si>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</si>
  <si>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</si>
  <si>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</si>
  <si>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</si>
  <si>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</si>
  <si>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</si>
  <si>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</si>
  <si>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</si>
  <si>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</si>
  <si>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</si>
  <si>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</si>
  <si>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</si>
  <si>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</si>
  <si>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</si>
  <si>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</si>
  <si>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</si>
  <si>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</si>
  <si>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</si>
  <si>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</si>
  <si>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</si>
  <si>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</si>
  <si>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</si>
  <si>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</si>
  <si>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</si>
  <si>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</si>
  <si>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</si>
  <si>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</si>
  <si>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</si>
  <si>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</si>
  <si>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</si>
  <si>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</si>
  <si>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</si>
  <si>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</si>
  <si>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</si>
  <si>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</si>
  <si>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</si>
  <si>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</si>
  <si>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</si>
  <si>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</si>
  <si>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</si>
  <si>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</si>
  <si>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</si>
  <si>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</si>
  <si>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</si>
  <si>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</si>
  <si>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</si>
  <si>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</si>
  <si>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</si>
  <si>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</si>
  <si>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</si>
  <si>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</si>
  <si>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</si>
  <si>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</si>
  <si>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</si>
  <si>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</si>
  <si>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</si>
  <si>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</si>
  <si>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</si>
  <si>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</si>
  <si>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</si>
  <si>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</si>
  <si>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</si>
  <si>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</si>
  <si>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</si>
  <si>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</si>
  <si>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</si>
  <si>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</si>
  <si>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</si>
  <si>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</si>
  <si>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</si>
  <si>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</si>
  <si>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</si>
  <si>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</si>
  <si>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</si>
  <si>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</si>
  <si>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</si>
  <si>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</si>
  <si>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</si>
  <si>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</si>
  <si>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</si>
  <si>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</si>
  <si>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</si>
  <si>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</si>
  <si>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</si>
  <si>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</si>
  <si>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</si>
  <si>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</si>
  <si>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</si>
  <si>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</si>
  <si>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</si>
  <si>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</si>
  <si>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</si>
  <si>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</si>
  <si>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</si>
  <si>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</si>
  <si>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</si>
  <si>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</si>
  <si>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</si>
  <si>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</si>
  <si>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</si>
  <si>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</si>
  <si>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</si>
  <si>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</si>
  <si>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</si>
  <si>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</si>
  <si>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</si>
  <si>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</si>
  <si>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</si>
  <si>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</si>
  <si>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</si>
  <si>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</si>
  <si>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</si>
  <si>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</si>
  <si>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</si>
  <si>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</si>
  <si>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</si>
  <si>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</si>
  <si>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</si>
  <si>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</si>
  <si>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</si>
  <si>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</si>
  <si>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</si>
  <si>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</si>
  <si>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</si>
  <si>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</si>
  <si>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</si>
  <si>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</si>
  <si>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</si>
  <si>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</si>
  <si>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</si>
  <si>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</si>
  <si>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</si>
  <si>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</si>
  <si>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</si>
  <si>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</si>
  <si>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</si>
  <si>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</si>
  <si>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</si>
  <si>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</si>
  <si>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</si>
  <si>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</si>
  <si>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</si>
  <si>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</si>
  <si>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</si>
  <si>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</si>
  <si>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</si>
  <si>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</si>
  <si>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</si>
  <si>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</si>
  <si>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</si>
  <si>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</si>
  <si>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</si>
  <si>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</si>
  <si>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</si>
  <si>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</si>
  <si>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</si>
  <si>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</si>
  <si>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</si>
  <si>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</si>
  <si>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</si>
  <si>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</si>
  <si>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</si>
  <si>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</si>
  <si>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</si>
  <si>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</si>
  <si>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</si>
  <si>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</si>
  <si>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</si>
  <si>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</si>
  <si>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</si>
  <si>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</si>
  <si>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</si>
  <si>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</si>
  <si>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</si>
  <si>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</si>
  <si>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</si>
  <si>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</si>
  <si>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</si>
  <si>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</si>
  <si>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</si>
  <si>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</si>
  <si>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</si>
  <si>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</si>
  <si>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</si>
  <si>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</si>
  <si>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</si>
  <si>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</si>
  <si>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</si>
  <si>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</si>
  <si>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</si>
  <si>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</si>
  <si>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</si>
  <si>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</si>
  <si>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</si>
  <si>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</si>
  <si>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</si>
  <si>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</si>
  <si>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</si>
  <si>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</si>
  <si>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</si>
  <si>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</si>
  <si>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</si>
  <si>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</si>
  <si>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</si>
  <si>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</si>
  <si>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</si>
  <si>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</si>
  <si>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</si>
  <si>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</si>
  <si>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</si>
  <si>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</si>
  <si>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</si>
  <si>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</si>
  <si>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</si>
  <si>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</si>
  <si>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</si>
  <si>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</si>
  <si>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</si>
  <si>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</si>
  <si>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</si>
  <si>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</si>
  <si>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</si>
  <si>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</si>
  <si>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</si>
  <si>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</si>
  <si>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</si>
  <si>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</si>
  <si>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</si>
  <si>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</si>
  <si>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</si>
  <si>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</si>
  <si>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</si>
  <si>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</si>
  <si>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</si>
  <si>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</si>
  <si>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</si>
  <si>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</si>
  <si>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</si>
  <si>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</si>
  <si>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</si>
  <si>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</si>
  <si>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</si>
  <si>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</si>
  <si>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</si>
  <si>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</si>
  <si>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</si>
  <si>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</si>
  <si>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</si>
  <si>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</si>
  <si>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</si>
  <si>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</si>
  <si>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</si>
  <si>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</si>
  <si>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</si>
  <si>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</si>
  <si>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</si>
  <si>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</si>
  <si>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</si>
  <si>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</si>
  <si>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</si>
  <si>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</si>
  <si>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</si>
  <si>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</si>
  <si>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</si>
  <si>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</si>
  <si>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</si>
  <si>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</si>
  <si>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</si>
  <si>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</si>
  <si>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</si>
  <si>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</si>
  <si>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</si>
  <si>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</si>
  <si>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</si>
  <si>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</si>
  <si>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</si>
  <si>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</si>
  <si>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</si>
  <si>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</si>
  <si>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</si>
  <si>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</si>
  <si>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</si>
  <si>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</si>
  <si>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</si>
  <si>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</si>
  <si>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</si>
  <si>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</si>
  <si>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</si>
  <si>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</si>
  <si>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</si>
  <si>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</si>
  <si>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</si>
  <si>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</si>
  <si>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</si>
  <si>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</si>
  <si>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</si>
  <si>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</si>
  <si>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</si>
  <si>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</si>
  <si>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</si>
  <si>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</si>
  <si>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</si>
  <si>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</si>
  <si>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</si>
  <si>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</si>
  <si>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</si>
  <si>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</si>
  <si>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</si>
  <si>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</si>
  <si>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</si>
  <si>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</si>
  <si>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</si>
  <si>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</si>
  <si>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</si>
  <si>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</si>
  <si>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</si>
  <si>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</si>
  <si>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</si>
  <si>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</si>
  <si>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</si>
  <si>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</si>
  <si>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</si>
  <si>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</si>
  <si>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</si>
  <si>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</si>
  <si>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</si>
  <si>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</si>
  <si>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</si>
  <si>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</si>
  <si>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</si>
  <si>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</si>
  <si>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</si>
  <si>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</si>
  <si>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</si>
  <si>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</si>
  <si>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</si>
  <si>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</si>
  <si>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</si>
  <si>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</si>
  <si>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</si>
  <si>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</si>
  <si>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</si>
  <si>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</si>
  <si>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</si>
  <si>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</si>
  <si>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</si>
  <si>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</si>
  <si>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</si>
  <si>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</si>
  <si>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</si>
  <si>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</si>
  <si>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</si>
  <si>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</si>
  <si>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</si>
  <si>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</si>
  <si>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</si>
  <si>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</si>
  <si>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</si>
  <si>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</si>
  <si>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</si>
  <si>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</si>
  <si>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</si>
  <si>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</si>
  <si>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</si>
  <si>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</si>
  <si>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</si>
  <si>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</si>
  <si>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</si>
  <si>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</si>
  <si>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</si>
  <si>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</si>
  <si>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</si>
  <si>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</si>
  <si>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</si>
  <si>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</si>
  <si>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</si>
  <si>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</si>
  <si>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</si>
  <si>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</si>
  <si>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</si>
  <si>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</si>
  <si>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</si>
  <si>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</si>
  <si>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</si>
  <si>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</si>
  <si>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</si>
  <si>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</si>
  <si>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</si>
  <si>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</si>
  <si>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</si>
  <si>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</si>
  <si>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</si>
  <si>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</si>
  <si>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</si>
  <si>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</si>
  <si>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</si>
  <si>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</si>
  <si>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</si>
  <si>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</si>
  <si>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</si>
  <si>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</si>
  <si>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</si>
  <si>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</si>
  <si>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</si>
  <si>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</si>
  <si>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</si>
  <si>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</si>
  <si>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</si>
  <si>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</si>
  <si>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</si>
  <si>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</si>
  <si>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</si>
  <si>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</si>
  <si>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</si>
  <si>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</si>
  <si>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</si>
  <si>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</si>
  <si>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</si>
  <si>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</si>
  <si>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</si>
  <si>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</si>
  <si>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</si>
  <si>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</si>
  <si>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</si>
  <si>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</si>
  <si>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</si>
  <si>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</si>
  <si>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</si>
  <si>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</si>
  <si>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</si>
  <si>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</si>
  <si>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</si>
  <si>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</si>
  <si>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</si>
  <si>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</si>
  <si>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</si>
  <si>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</si>
  <si>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</si>
  <si>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</si>
  <si>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</si>
  <si>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</si>
  <si>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</si>
  <si>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</si>
  <si>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</si>
  <si>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</si>
  <si>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</si>
  <si>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</si>
  <si>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</si>
  <si>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</si>
  <si>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</si>
  <si>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</si>
  <si>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</si>
  <si>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</si>
  <si>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</si>
  <si>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</si>
  <si>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</si>
  <si>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</si>
  <si>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</si>
  <si>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</si>
  <si>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</si>
  <si>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</si>
  <si>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</si>
  <si>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</si>
  <si>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</si>
  <si>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</si>
  <si>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</si>
  <si>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</si>
  <si>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</si>
  <si>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</si>
  <si>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</si>
  <si>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</si>
  <si>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</si>
  <si>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</si>
  <si>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</si>
  <si>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</si>
  <si>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</si>
  <si>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</si>
  <si>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</si>
  <si>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</si>
  <si>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</si>
  <si>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</si>
  <si>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</si>
  <si>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</si>
  <si>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</si>
  <si>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</si>
  <si>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</si>
  <si>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</si>
  <si>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</si>
  <si>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</si>
  <si>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</si>
  <si>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</si>
  <si>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</si>
  <si>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</si>
  <si>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</si>
  <si>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</si>
  <si>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</si>
  <si>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</si>
  <si>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</si>
  <si>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</si>
  <si>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</si>
  <si>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</si>
  <si>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</si>
  <si>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</si>
  <si>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</si>
  <si>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</si>
  <si>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</si>
  <si>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</si>
  <si>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</si>
  <si>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</si>
  <si>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</si>
  <si>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</si>
  <si>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</si>
  <si>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</si>
  <si>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</si>
  <si>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</si>
  <si>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</si>
  <si>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</si>
  <si>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</si>
  <si>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</si>
  <si>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</si>
  <si>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</si>
  <si>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</si>
  <si>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</si>
  <si>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</si>
  <si>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</si>
  <si>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</si>
  <si>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</si>
  <si>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</si>
  <si>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</si>
  <si>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</si>
  <si>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</si>
  <si>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</si>
  <si>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</si>
  <si>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</si>
  <si>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</si>
  <si>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</si>
  <si>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</si>
  <si>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</si>
  <si>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</si>
  <si>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</si>
  <si>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</si>
  <si>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</si>
  <si>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</si>
  <si>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</si>
  <si>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</si>
  <si>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</si>
  <si>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</si>
  <si>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</si>
  <si>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</si>
  <si>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</si>
  <si>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</si>
  <si>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</si>
  <si>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</si>
  <si>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</si>
  <si>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</si>
  <si>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</si>
  <si>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</si>
  <si>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</si>
  <si>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</si>
  <si>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</si>
  <si>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</si>
  <si>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</si>
  <si>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</si>
  <si>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</si>
  <si>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</si>
  <si>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</si>
  <si>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</si>
  <si>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</si>
  <si>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</si>
  <si>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</si>
  <si>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</si>
  <si>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</si>
  <si>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</si>
  <si>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</si>
  <si>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</si>
  <si>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</si>
  <si>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</si>
  <si>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</si>
  <si>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</si>
  <si>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</si>
  <si>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</si>
  <si>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</si>
  <si>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</si>
  <si>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</si>
  <si>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</si>
  <si>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</si>
  <si>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</si>
  <si>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</si>
  <si>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</si>
  <si>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</si>
  <si>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</si>
  <si>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</si>
  <si>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</si>
  <si>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</si>
  <si>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</si>
  <si>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</si>
  <si>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</si>
  <si>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</si>
  <si>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</si>
  <si>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</si>
  <si>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</si>
  <si>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</si>
  <si>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</si>
  <si>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</si>
  <si>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</si>
  <si>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</si>
  <si>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</si>
  <si>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</si>
  <si>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</si>
  <si>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</si>
  <si>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</si>
  <si>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</si>
  <si>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</si>
  <si>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</si>
  <si>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</si>
  <si>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</si>
  <si>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</si>
  <si>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</si>
  <si>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</si>
  <si>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</si>
  <si>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</si>
  <si>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</si>
  <si>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</si>
  <si>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</si>
  <si>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</si>
  <si>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</si>
  <si>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</si>
  <si>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</si>
  <si>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</si>
  <si>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</si>
  <si>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</si>
  <si>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</si>
  <si>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</si>
  <si>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</si>
  <si>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</si>
  <si>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</si>
  <si>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</si>
  <si>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</si>
  <si>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</si>
  <si>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</si>
  <si>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</si>
  <si>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</si>
  <si>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</si>
  <si>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</si>
  <si>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</si>
  <si>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</si>
  <si>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</si>
  <si>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</si>
  <si>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</si>
  <si>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</si>
  <si>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</si>
  <si>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</si>
  <si>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</si>
  <si>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</si>
  <si>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</si>
  <si>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</si>
  <si>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</si>
  <si>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</si>
  <si>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</si>
  <si>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</si>
  <si>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</si>
  <si>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</si>
  <si>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</si>
  <si>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</si>
  <si>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</si>
  <si>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</si>
  <si>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</si>
  <si>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</si>
  <si>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</si>
  <si>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</si>
  <si>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</si>
  <si>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</si>
  <si>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</si>
  <si>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</si>
  <si>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</si>
  <si>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</si>
  <si>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</si>
  <si>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</si>
  <si>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</si>
  <si>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</si>
  <si>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</si>
  <si>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</si>
  <si>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</si>
  <si>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</si>
  <si>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</si>
  <si>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</si>
  <si>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</si>
  <si>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</si>
  <si>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</si>
  <si>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</si>
  <si>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</si>
  <si>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</si>
  <si>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</si>
  <si>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</si>
  <si>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</si>
  <si>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</si>
  <si>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</si>
  <si>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</si>
  <si>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</si>
  <si>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</si>
  <si>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</si>
  <si>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</si>
  <si>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</si>
  <si>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</si>
  <si>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</si>
  <si>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</si>
  <si>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</si>
  <si>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</si>
  <si>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</si>
  <si>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</si>
  <si>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</si>
  <si>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</si>
  <si>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</si>
  <si>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</si>
  <si>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</si>
  <si>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</si>
  <si>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</si>
  <si>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</si>
  <si>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</si>
  <si>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</si>
  <si>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</si>
  <si>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</si>
  <si>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</si>
  <si>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</si>
  <si>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</si>
  <si>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</si>
  <si>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</si>
  <si>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</si>
  <si>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</si>
  <si>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</si>
  <si>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</si>
  <si>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</si>
  <si>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</si>
  <si>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</si>
  <si>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</si>
  <si>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</si>
  <si>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</si>
  <si>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</si>
  <si>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</si>
  <si>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</si>
  <si>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</si>
  <si>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</si>
  <si>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</si>
  <si>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</si>
  <si>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</si>
  <si>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</si>
  <si>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</si>
  <si>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</si>
  <si>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</si>
  <si>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</si>
  <si>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</si>
  <si>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</si>
  <si>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</si>
  <si>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</si>
  <si>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</si>
  <si>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</si>
  <si>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</si>
  <si>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</si>
  <si>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</si>
  <si>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</si>
  <si>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</si>
  <si>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</si>
  <si>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</si>
  <si>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</si>
  <si>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</si>
  <si>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</si>
  <si>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</si>
  <si>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</si>
  <si>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</si>
  <si>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</si>
  <si>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</si>
  <si>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</si>
  <si>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</si>
  <si>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</si>
  <si>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</si>
  <si>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</si>
  <si>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</si>
  <si>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</si>
  <si>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</si>
  <si>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</si>
  <si>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</si>
  <si>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</si>
  <si>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</si>
  <si>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</si>
  <si>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</si>
  <si>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</si>
  <si>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</si>
  <si>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</si>
  <si>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</si>
  <si>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</si>
  <si>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</si>
  <si>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</si>
  <si>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</si>
  <si>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</si>
  <si>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</si>
  <si>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</si>
  <si>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</si>
  <si>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</si>
  <si>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</si>
  <si>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</si>
  <si>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</si>
  <si>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</si>
  <si>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</si>
  <si>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</si>
  <si>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</si>
  <si>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</si>
  <si>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</si>
  <si>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</si>
  <si>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</si>
  <si>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</si>
  <si>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</si>
  <si>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</si>
  <si>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</si>
  <si>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</si>
  <si>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</si>
  <si>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</si>
  <si>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</si>
  <si>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</si>
  <si>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</si>
  <si>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</si>
  <si>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</si>
  <si>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</si>
  <si>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</si>
  <si>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</si>
  <si>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</si>
  <si>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</si>
  <si>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</si>
  <si>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</si>
  <si>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</si>
  <si>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</si>
  <si>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</si>
  <si>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</si>
  <si>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</si>
  <si>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</si>
  <si>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</si>
  <si>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</si>
  <si>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</si>
  <si>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</si>
  <si>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</si>
  <si>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</si>
  <si>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</si>
  <si>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</si>
  <si>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</si>
  <si>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</si>
  <si>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</si>
  <si>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</si>
  <si>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</si>
  <si>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</si>
  <si>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</si>
  <si>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</si>
  <si>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</si>
  <si>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</si>
  <si>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</si>
  <si>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</si>
  <si>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</si>
  <si>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</si>
  <si>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</si>
  <si>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</si>
  <si>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</si>
  <si>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</si>
  <si>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</si>
  <si>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</si>
  <si>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</si>
  <si>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</si>
  <si>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</si>
  <si>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</si>
  <si>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</si>
  <si>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</si>
  <si>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</si>
  <si>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</si>
  <si>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</si>
  <si>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</si>
  <si>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</si>
  <si>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</si>
  <si>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</si>
  <si>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</si>
  <si>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</si>
  <si>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</si>
  <si>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</si>
  <si>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</si>
  <si>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</si>
  <si>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</si>
  <si>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</si>
  <si>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</si>
  <si>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</si>
  <si>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</si>
  <si>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</si>
  <si>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</si>
  <si>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</si>
  <si>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</si>
  <si>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</si>
  <si>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</si>
  <si>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</si>
  <si>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</si>
  <si>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</si>
  <si>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</si>
  <si>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</si>
  <si>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</si>
  <si>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</si>
  <si>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</si>
  <si>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</si>
  <si>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</si>
  <si>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</si>
  <si>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</si>
  <si>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</si>
  <si>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</si>
  <si>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</si>
  <si>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</si>
  <si>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</si>
  <si>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</si>
  <si>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</si>
  <si>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</si>
  <si>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</si>
  <si>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</si>
  <si>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</si>
  <si>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</si>
  <si>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</si>
  <si>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</si>
  <si>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</si>
  <si>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</si>
  <si>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</si>
  <si>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</si>
  <si>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</si>
  <si>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</si>
  <si>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</si>
  <si>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</si>
  <si>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</si>
  <si>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</si>
  <si>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</si>
  <si>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</si>
  <si>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</si>
  <si>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</si>
  <si>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</si>
  <si>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</si>
  <si>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</si>
  <si>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</si>
  <si>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</si>
  <si>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</si>
  <si>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</si>
  <si>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</si>
  <si>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</si>
  <si>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</si>
  <si>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</si>
  <si>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</si>
  <si>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</si>
  <si>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</si>
  <si>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</si>
  <si>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</si>
  <si>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</si>
  <si>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</si>
  <si>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</si>
  <si>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</si>
  <si>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</si>
  <si>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</si>
  <si>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</si>
  <si>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</si>
  <si>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</si>
  <si>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</si>
  <si>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</si>
  <si>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</si>
  <si>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</si>
  <si>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</si>
  <si>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</si>
  <si>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</si>
  <si>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</si>
  <si>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</si>
  <si>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</si>
  <si>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</si>
  <si>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</si>
  <si>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</si>
  <si>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</si>
  <si>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</si>
  <si>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</si>
  <si>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</si>
  <si>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</si>
  <si>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</si>
  <si>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</si>
  <si>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</si>
  <si>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</si>
  <si>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</si>
  <si>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</si>
  <si>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</si>
  <si>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</si>
  <si>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</si>
  <si>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</si>
  <si>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</si>
  <si>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</si>
  <si>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</si>
  <si>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</si>
  <si>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</si>
  <si>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</si>
  <si>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</si>
  <si>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</si>
  <si>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</si>
  <si>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</si>
  <si>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</si>
  <si>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</si>
  <si>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</si>
  <si>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</si>
  <si>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</si>
  <si>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</si>
  <si>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</si>
  <si>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</si>
  <si>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</si>
  <si>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</si>
  <si>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</si>
  <si>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</si>
  <si>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</si>
  <si>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</si>
  <si>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</si>
  <si>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</si>
  <si>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</si>
  <si>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</si>
  <si>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</si>
  <si>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</si>
  <si>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</si>
  <si>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</si>
  <si>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</si>
  <si>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</si>
  <si>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</si>
  <si>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</si>
  <si>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</si>
  <si>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</si>
  <si>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</si>
  <si>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</si>
  <si>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</si>
  <si>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</si>
  <si>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</si>
  <si>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</si>
  <si>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</si>
  <si>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</si>
  <si>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</si>
  <si>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</si>
  <si>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</si>
  <si>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</si>
  <si>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</si>
  <si>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</si>
  <si>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</si>
  <si>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</si>
  <si>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</si>
  <si>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</si>
  <si>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</si>
  <si>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</si>
  <si>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</si>
  <si>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</si>
  <si>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</si>
  <si>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</si>
  <si>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</si>
  <si>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</si>
  <si>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</si>
  <si>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</si>
  <si>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</si>
  <si>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</si>
  <si>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</si>
  <si>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</si>
  <si>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</si>
  <si>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</si>
  <si>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</si>
  <si>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</si>
  <si>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</si>
  <si>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</si>
  <si>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</si>
  <si>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</si>
  <si>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</si>
  <si>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</si>
  <si>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</si>
  <si>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</si>
  <si>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</si>
  <si>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</si>
  <si>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</si>
  <si>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</si>
  <si>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</si>
  <si>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</si>
  <si>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</si>
  <si>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</si>
  <si>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</si>
  <si>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</si>
  <si>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</si>
  <si>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</si>
  <si>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</si>
  <si>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</si>
  <si>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</si>
  <si>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</si>
  <si>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</si>
  <si>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</si>
  <si>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</si>
  <si>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</si>
  <si>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</si>
  <si>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</si>
  <si>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</si>
  <si>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</si>
  <si>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</si>
  <si>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</si>
  <si>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</si>
  <si>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</si>
  <si>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</si>
  <si>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</si>
  <si>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</si>
  <si>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</si>
  <si>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</si>
  <si>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</si>
  <si>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</si>
  <si>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</si>
  <si>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</si>
  <si>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</si>
  <si>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</si>
  <si>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</si>
  <si>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</si>
  <si>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</si>
  <si>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</si>
  <si>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</si>
  <si>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</si>
  <si>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</si>
  <si>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</si>
  <si>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</si>
  <si>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</si>
  <si>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</si>
  <si>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</si>
  <si>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</si>
  <si>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</si>
  <si>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</si>
  <si>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</si>
  <si>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</si>
  <si>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</si>
  <si>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</si>
  <si>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</si>
  <si>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</si>
  <si>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</si>
  <si>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</si>
  <si>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</si>
  <si>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</si>
  <si>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</si>
  <si>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</si>
  <si>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</si>
  <si>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</si>
  <si>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</si>
  <si>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</si>
  <si>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</si>
  <si>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</si>
  <si>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</si>
  <si>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</si>
  <si>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</si>
  <si>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</si>
  <si>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</si>
  <si>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</si>
  <si>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</si>
  <si>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</si>
  <si>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</si>
  <si>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</si>
  <si>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</si>
  <si>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</si>
  <si>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</si>
  <si>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</si>
  <si>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</si>
  <si>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</si>
  <si>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</si>
  <si>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</si>
  <si>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</si>
  <si>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</si>
  <si>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</si>
  <si>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</si>
  <si>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</si>
  <si>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</si>
  <si>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</si>
  <si>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</si>
  <si>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</si>
  <si>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</si>
  <si>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</si>
  <si>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</si>
  <si>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</si>
  <si>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</si>
  <si>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</si>
  <si>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</si>
  <si>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</si>
  <si>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</si>
  <si>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</si>
  <si>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</si>
  <si>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</si>
  <si>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</si>
  <si>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</si>
  <si>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</si>
  <si>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</si>
  <si>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</si>
  <si>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</si>
  <si>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</si>
  <si>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</si>
  <si>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</si>
  <si>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</si>
  <si>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</si>
  <si>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</si>
  <si>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</si>
  <si>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</si>
  <si>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</si>
  <si>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</si>
  <si>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</si>
  <si>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</si>
  <si>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</si>
  <si>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</si>
  <si>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</si>
  <si>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</si>
  <si>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</si>
  <si>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</si>
  <si>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</si>
  <si>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</si>
  <si>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</si>
  <si>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</si>
  <si>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</si>
  <si>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</si>
  <si>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</si>
  <si>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</si>
  <si>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</si>
  <si>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</si>
  <si>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</si>
  <si>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</si>
  <si>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</si>
  <si>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</si>
  <si>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</si>
  <si>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</si>
  <si>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</si>
  <si>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</si>
  <si>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</si>
  <si>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</si>
  <si>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</si>
  <si>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</si>
  <si>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</si>
  <si>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</si>
  <si>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</si>
  <si>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</si>
  <si>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</si>
  <si>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</si>
  <si>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</si>
  <si>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</si>
  <si>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</si>
  <si>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</si>
  <si>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</si>
  <si>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</si>
  <si>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</si>
  <si>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</si>
  <si>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</si>
  <si>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</si>
  <si>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</si>
  <si>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</si>
  <si>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</si>
  <si>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</si>
  <si>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</si>
  <si>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</si>
  <si>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</si>
  <si>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</si>
  <si>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</si>
  <si>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</si>
  <si>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</si>
  <si>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</si>
  <si>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</si>
  <si>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</si>
  <si>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</si>
  <si>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</si>
  <si>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</si>
  <si>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</si>
  <si>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</si>
  <si>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</si>
  <si>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</si>
  <si>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</si>
  <si>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</si>
  <si>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</si>
  <si>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</si>
  <si>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</si>
  <si>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</si>
  <si>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</si>
  <si>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</si>
  <si>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</si>
  <si>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</si>
  <si>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</si>
  <si>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</si>
  <si>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</si>
  <si>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</si>
  <si>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</si>
  <si>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</si>
  <si>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</si>
  <si>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</si>
  <si>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</si>
  <si>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</si>
  <si>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</si>
  <si>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</si>
  <si>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</si>
  <si>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</si>
  <si>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</si>
  <si>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</si>
  <si>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</si>
  <si>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</si>
  <si>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</si>
  <si>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</si>
  <si>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</si>
  <si>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</si>
  <si>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</si>
  <si>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</si>
  <si>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</si>
  <si>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</si>
  <si>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</si>
  <si>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</si>
  <si>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</si>
  <si>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</si>
  <si>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</si>
  <si>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</si>
  <si>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</si>
  <si>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</si>
  <si>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</si>
  <si>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</si>
  <si>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</si>
  <si>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</si>
  <si>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</si>
  <si>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</si>
  <si>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</si>
  <si>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</si>
  <si>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</si>
  <si>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</si>
  <si>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</si>
  <si>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</si>
  <si>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</si>
  <si>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</si>
  <si>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</si>
  <si>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</si>
  <si>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</si>
  <si>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</si>
  <si>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</si>
  <si>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</si>
  <si>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</si>
  <si>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</si>
  <si>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</si>
  <si>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</si>
  <si>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</si>
  <si>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</si>
  <si>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</si>
  <si>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</si>
  <si>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</si>
  <si>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</si>
  <si>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</si>
  <si>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</si>
  <si>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</si>
  <si>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</si>
  <si>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</si>
  <si>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</si>
  <si>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</si>
  <si>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</si>
  <si>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</si>
  <si>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</si>
  <si>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</si>
  <si>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</si>
  <si>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</si>
  <si>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</si>
  <si>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</si>
  <si>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</si>
  <si>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</si>
  <si>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</si>
  <si>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</si>
  <si>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</si>
  <si>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</si>
  <si>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</si>
  <si>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</si>
  <si>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</si>
  <si>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</si>
  <si>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</si>
  <si>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</si>
  <si>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</si>
  <si>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</si>
  <si>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</si>
  <si>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</si>
  <si>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</si>
  <si>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</si>
  <si>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</si>
  <si>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</si>
  <si>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</si>
  <si>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</si>
  <si>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</si>
  <si>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</si>
  <si>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</si>
  <si>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</si>
  <si>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</si>
  <si>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</si>
  <si>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</si>
  <si>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</si>
  <si>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</si>
  <si>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</si>
  <si>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</si>
  <si>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</si>
  <si>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</si>
  <si>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</si>
  <si>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</si>
  <si>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</si>
  <si>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</si>
  <si>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</si>
  <si>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</si>
  <si>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</si>
  <si>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</si>
  <si>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</si>
  <si>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</si>
  <si>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</si>
  <si>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</si>
  <si>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</si>
  <si>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</si>
  <si>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</si>
  <si>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</si>
  <si>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</si>
  <si>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</si>
  <si>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</si>
  <si>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</si>
  <si>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</si>
  <si>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</si>
  <si>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</si>
  <si>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</si>
  <si>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</si>
  <si>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</si>
  <si>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</si>
  <si>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</si>
  <si>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</si>
  <si>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</si>
  <si>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</si>
  <si>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</si>
  <si>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</si>
  <si>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</si>
  <si>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</si>
  <si>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</si>
  <si>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</si>
  <si>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</si>
  <si>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</si>
  <si>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</si>
  <si>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</si>
  <si>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</si>
  <si>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</si>
  <si>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</si>
  <si>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</si>
  <si>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</si>
  <si>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</si>
  <si>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</si>
  <si>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</si>
  <si>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</si>
  <si>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</si>
  <si>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</si>
  <si>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</si>
  <si>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</si>
  <si>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</si>
  <si>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</si>
  <si>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</si>
  <si>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</si>
  <si>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</si>
  <si>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</si>
  <si>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</si>
  <si>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</si>
  <si>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</si>
  <si>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</si>
  <si>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</si>
  <si>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</si>
  <si>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</si>
  <si>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</si>
  <si>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</si>
  <si>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</si>
  <si>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</si>
  <si>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</si>
  <si>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</si>
  <si>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</si>
  <si>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</si>
  <si>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</si>
  <si>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</si>
  <si>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</si>
  <si>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</si>
  <si>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</si>
  <si>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</si>
  <si>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</si>
  <si>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</si>
  <si>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</si>
  <si>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</si>
  <si>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</si>
  <si>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</si>
  <si>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</si>
  <si>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</si>
  <si>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</si>
  <si>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</si>
  <si>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</si>
  <si>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</si>
  <si>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</si>
  <si>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</si>
  <si>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</si>
  <si>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</si>
  <si>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</si>
  <si>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</si>
  <si>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</si>
  <si>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</si>
  <si>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</si>
  <si>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</si>
  <si>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</si>
  <si>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</si>
  <si>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</si>
  <si>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</si>
  <si>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</si>
  <si>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</si>
  <si>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</si>
  <si>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</si>
  <si>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</si>
  <si>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</si>
  <si>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</si>
  <si>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</si>
  <si>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</si>
  <si>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</si>
  <si>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</si>
  <si>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</si>
  <si>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</si>
  <si>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</si>
  <si>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</si>
  <si>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</si>
  <si>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</si>
  <si>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</si>
  <si>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</si>
  <si>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</si>
  <si>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</si>
  <si>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</si>
  <si>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</si>
  <si>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</si>
  <si>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</si>
  <si>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</si>
  <si>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</si>
  <si>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</si>
  <si>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</si>
  <si>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</si>
  <si>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</si>
  <si>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</si>
  <si>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</si>
  <si>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</si>
  <si>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</si>
  <si>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</si>
  <si>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</si>
  <si>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</si>
  <si>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</si>
  <si>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</si>
  <si>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</si>
  <si>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</si>
  <si>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</si>
  <si>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</si>
  <si>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</si>
  <si>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</si>
  <si>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</si>
  <si>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</si>
  <si>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</si>
  <si>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</si>
  <si>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</si>
  <si>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</si>
  <si>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</si>
  <si>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</si>
  <si>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</si>
  <si>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</si>
  <si>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</si>
  <si>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</si>
  <si>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</si>
  <si>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</si>
  <si>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</si>
  <si>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</si>
  <si>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</si>
  <si>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</si>
  <si>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</si>
  <si>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</si>
  <si>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</si>
  <si>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</si>
  <si>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</si>
  <si>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</si>
  <si>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</si>
  <si>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</si>
  <si>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</si>
  <si>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</si>
  <si>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</si>
  <si>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</si>
  <si>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</si>
  <si>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</si>
  <si>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</si>
  <si>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</si>
  <si>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</si>
  <si>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</si>
  <si>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</si>
  <si>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</si>
  <si>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</si>
  <si>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</si>
  <si>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</si>
  <si>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</si>
  <si>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</si>
  <si>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</si>
  <si>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</si>
  <si>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</si>
  <si>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</si>
  <si>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</si>
  <si>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</si>
  <si>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</si>
  <si>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</si>
  <si>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</si>
  <si>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</si>
  <si>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</si>
  <si>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</si>
  <si>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</si>
  <si>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</si>
  <si>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</si>
  <si>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</si>
  <si>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</si>
  <si>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</si>
  <si>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</si>
  <si>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</si>
  <si>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</si>
  <si>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</si>
  <si>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</si>
  <si>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</si>
  <si>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</si>
  <si>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</si>
  <si>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</si>
  <si>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</si>
  <si>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</si>
  <si>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</si>
  <si>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</si>
  <si>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</si>
  <si>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</si>
  <si>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</si>
  <si>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</si>
  <si>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</si>
  <si>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</si>
  <si>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</si>
  <si>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</si>
  <si>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</si>
  <si>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</si>
  <si>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</si>
  <si>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</si>
  <si>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</si>
  <si>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</si>
  <si>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</si>
  <si>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</si>
  <si>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</si>
  <si>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</si>
  <si>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</si>
  <si>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</si>
  <si>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</si>
  <si>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</si>
  <si>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</si>
  <si>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</si>
  <si>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</si>
  <si>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</si>
  <si>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</si>
  <si>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</si>
  <si>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</si>
  <si>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</si>
  <si>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</si>
  <si>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</si>
  <si>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</si>
  <si>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</si>
  <si>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</si>
  <si>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</si>
  <si>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</si>
  <si>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</si>
  <si>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</si>
  <si>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</si>
  <si>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</si>
  <si>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</si>
  <si>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</si>
  <si>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</si>
  <si>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</si>
  <si>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</si>
  <si>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</si>
  <si>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</si>
  <si>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</si>
  <si>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</si>
  <si>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</si>
  <si>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</si>
  <si>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</si>
  <si>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</si>
  <si>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</si>
  <si>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</si>
  <si>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</si>
  <si>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</si>
  <si>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</si>
  <si>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</si>
  <si>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</si>
  <si>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</si>
  <si>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</si>
  <si>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</si>
  <si>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</si>
  <si>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</si>
  <si>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</si>
  <si>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</si>
  <si>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</si>
  <si>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</si>
  <si>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</si>
  <si>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</si>
  <si>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</si>
  <si>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</si>
  <si>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</si>
  <si>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</si>
  <si>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</si>
  <si>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</si>
  <si>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</si>
  <si>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</si>
  <si>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</si>
  <si>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</si>
  <si>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</si>
  <si>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</si>
  <si>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</si>
  <si>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</si>
  <si>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</si>
  <si>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</si>
  <si>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</si>
  <si>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</si>
  <si>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</si>
  <si>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</si>
  <si>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</si>
  <si>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</si>
  <si>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</si>
  <si>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</si>
  <si>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</si>
  <si>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</si>
  <si>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</si>
  <si>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</si>
  <si>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</si>
  <si>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</si>
  <si>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</si>
  <si>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</si>
  <si>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</si>
  <si>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</si>
  <si>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</si>
  <si>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</si>
  <si>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</si>
  <si>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</si>
  <si>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</si>
  <si>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</si>
  <si>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</si>
  <si>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</si>
  <si>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</si>
  <si>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</si>
  <si>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</si>
  <si>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</si>
  <si>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</si>
  <si>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</si>
  <si>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</si>
  <si>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</si>
  <si>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</si>
  <si>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</si>
  <si>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</si>
  <si>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</si>
  <si>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</si>
  <si>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</si>
  <si>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</si>
  <si>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</si>
  <si>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</si>
  <si>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</si>
  <si>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</si>
  <si>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</si>
  <si>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</si>
  <si>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</si>
  <si>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</si>
  <si>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</si>
  <si>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</si>
  <si>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</si>
  <si>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</si>
  <si>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</si>
  <si>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</si>
  <si>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</si>
  <si>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</si>
  <si>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</si>
  <si>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</si>
  <si>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</si>
  <si>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</si>
  <si>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</si>
  <si>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</si>
  <si>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</si>
  <si>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</si>
  <si>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</si>
  <si>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</si>
  <si>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</si>
  <si>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</si>
  <si>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</si>
  <si>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</si>
  <si>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</si>
  <si>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</si>
  <si>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</si>
  <si>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</si>
  <si>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</si>
  <si>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</si>
  <si>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</si>
  <si>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</si>
  <si>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</si>
  <si>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</si>
  <si>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</si>
  <si>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</si>
  <si>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</si>
  <si>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</si>
  <si>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</si>
  <si>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</si>
  <si>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</si>
  <si>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</si>
  <si>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</si>
  <si>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</si>
  <si>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</si>
  <si>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</si>
  <si>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</si>
  <si>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</si>
  <si>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</si>
  <si>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</si>
  <si>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</si>
  <si>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</si>
  <si>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</si>
  <si>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</si>
  <si>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</si>
  <si>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</si>
  <si>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</si>
  <si>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</si>
  <si>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</si>
  <si>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</si>
  <si>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</si>
  <si>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</si>
  <si>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</si>
  <si>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</si>
  <si>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</si>
  <si>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</si>
  <si>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</si>
  <si>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</si>
  <si>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</si>
  <si>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</si>
  <si>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</si>
  <si>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</si>
  <si>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</si>
  <si>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</si>
  <si>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</si>
  <si>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</si>
  <si>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</si>
  <si>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</si>
  <si>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</si>
  <si>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</si>
  <si>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</si>
  <si>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</si>
  <si>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</si>
  <si>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</si>
  <si>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</si>
  <si>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</si>
  <si>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</si>
  <si>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</si>
  <si>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</si>
  <si>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</si>
  <si>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</si>
  <si>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</si>
  <si>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</si>
  <si>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</si>
  <si>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</si>
  <si>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</si>
  <si>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</si>
  <si>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</si>
  <si>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</si>
  <si>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</si>
  <si>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</si>
  <si>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</si>
  <si>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</si>
  <si>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</si>
  <si>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</si>
  <si>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</si>
  <si>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</si>
  <si>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</si>
  <si>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</si>
  <si>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</si>
  <si>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</si>
  <si>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</si>
  <si>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</si>
  <si>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</si>
  <si>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</si>
  <si>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</si>
  <si>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</si>
  <si>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</si>
  <si>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</si>
  <si>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</si>
  <si>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</si>
  <si>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</si>
  <si>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</si>
  <si>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</si>
  <si>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</si>
  <si>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</si>
  <si>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</si>
  <si>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</si>
  <si>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</si>
  <si>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</si>
  <si>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</si>
  <si>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</si>
  <si>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</si>
  <si>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</si>
  <si>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</si>
  <si>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</si>
  <si>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</si>
  <si>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</si>
  <si>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</si>
  <si>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</si>
  <si>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</si>
  <si>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</si>
  <si>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</si>
  <si>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</si>
  <si>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</si>
  <si>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</si>
  <si>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</si>
  <si>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</si>
  <si>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</si>
  <si>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</si>
  <si>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</si>
  <si>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</si>
  <si>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</si>
  <si>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</si>
  <si>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</si>
  <si>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</si>
  <si>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</si>
  <si>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</si>
  <si>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</si>
  <si>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</si>
  <si>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</si>
  <si>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</si>
  <si>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</si>
  <si>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</si>
  <si>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</si>
  <si>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</si>
  <si>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</si>
  <si>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</si>
  <si>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</si>
  <si>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</si>
  <si>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</si>
  <si>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</si>
  <si>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</si>
  <si>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</si>
  <si>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</si>
  <si>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</si>
  <si>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</si>
  <si>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</si>
  <si>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</si>
  <si>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</si>
  <si>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</si>
  <si>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</si>
  <si>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</si>
  <si>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</si>
  <si>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</si>
  <si>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</si>
  <si>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</si>
  <si>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</si>
  <si>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</si>
  <si>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</si>
  <si>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</si>
  <si>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</si>
  <si>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</si>
  <si>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</si>
  <si>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</si>
  <si>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</si>
  <si>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</si>
  <si>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</si>
  <si>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</si>
  <si>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</si>
  <si>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</si>
  <si>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</si>
  <si>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</si>
  <si>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</si>
  <si>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</si>
  <si>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</si>
  <si>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</si>
  <si>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</si>
  <si>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</si>
  <si>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</si>
  <si>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</si>
  <si>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</si>
  <si>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</si>
  <si>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</si>
  <si>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</si>
  <si>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</si>
  <si>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</si>
  <si>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</si>
  <si>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</si>
  <si>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</si>
  <si>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</si>
  <si>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</si>
  <si>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</si>
  <si>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</si>
  <si>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</si>
  <si>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</si>
  <si>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</si>
  <si>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</si>
  <si>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</si>
  <si>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</si>
  <si>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</si>
  <si>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</si>
  <si>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</si>
  <si>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</si>
  <si>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</si>
  <si>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</si>
  <si>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</si>
  <si>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</si>
  <si>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</si>
  <si>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</si>
  <si>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</si>
  <si>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</si>
  <si>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</si>
  <si>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</si>
  <si>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</si>
  <si>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</si>
  <si>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</si>
  <si>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</si>
  <si>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</si>
  <si>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</si>
  <si>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</si>
  <si>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</si>
  <si>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</si>
  <si>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</si>
  <si>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</si>
  <si>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</si>
  <si>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</si>
  <si>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</si>
  <si>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</si>
  <si>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</si>
  <si>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</si>
  <si>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</si>
  <si>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</si>
  <si>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</si>
  <si>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</si>
  <si>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</si>
  <si>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</si>
  <si>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</si>
  <si>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</si>
  <si>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</si>
  <si>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</si>
  <si>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</si>
  <si>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</si>
  <si>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</si>
  <si>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</si>
  <si>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</si>
  <si>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</si>
  <si>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</si>
  <si>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</si>
  <si>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</si>
  <si>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</si>
  <si>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</si>
  <si>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</si>
  <si>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</si>
  <si>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</si>
  <si>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</si>
  <si>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</si>
  <si>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</si>
  <si>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</si>
  <si>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</si>
  <si>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</si>
  <si>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</si>
  <si>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</si>
  <si>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</si>
  <si>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</si>
  <si>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</si>
  <si>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</si>
  <si>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</si>
  <si>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</si>
  <si>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</si>
  <si>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</si>
  <si>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</si>
  <si>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</si>
  <si>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</si>
  <si>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</si>
  <si>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</si>
  <si>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</si>
  <si>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</si>
  <si>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</si>
  <si>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</si>
  <si>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</si>
  <si>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</si>
  <si>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</si>
  <si>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</si>
  <si>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</si>
  <si>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</si>
  <si>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</si>
  <si>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</si>
  <si>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</si>
  <si>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</si>
  <si>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</si>
  <si>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</si>
  <si>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</si>
  <si>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</si>
  <si>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</si>
  <si>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</si>
  <si>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</si>
  <si>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</si>
  <si>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</si>
  <si>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</si>
  <si>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</si>
  <si>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</si>
  <si>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</si>
  <si>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</si>
  <si>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</si>
  <si>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</si>
  <si>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</si>
  <si>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</si>
  <si>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</si>
  <si>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</si>
  <si>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</si>
  <si>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</si>
  <si>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</si>
  <si>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</si>
  <si>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</si>
  <si>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</si>
  <si>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</si>
  <si>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</si>
  <si>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</si>
  <si>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</si>
  <si>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</si>
  <si>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</si>
  <si>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</si>
  <si>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</si>
  <si>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</si>
  <si>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</si>
  <si>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</si>
  <si>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</si>
  <si>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</si>
  <si>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</si>
  <si>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</si>
  <si>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</si>
  <si>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</si>
  <si>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</si>
  <si>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</si>
  <si>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</si>
  <si>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</si>
  <si>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</si>
  <si>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</si>
  <si>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</si>
  <si>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</si>
  <si>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</si>
  <si>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</si>
  <si>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</si>
  <si>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</si>
  <si>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</si>
  <si>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</si>
  <si>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</si>
  <si>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</si>
  <si>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</si>
  <si>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</si>
  <si>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</si>
  <si>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</si>
  <si>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</si>
  <si>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</si>
  <si>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</si>
  <si>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</si>
  <si>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</si>
  <si>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</si>
  <si>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</si>
  <si>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</si>
  <si>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</si>
  <si>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</si>
  <si>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</si>
  <si>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</si>
  <si>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</si>
  <si>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</si>
  <si>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</si>
  <si>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</si>
  <si>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</si>
  <si>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</si>
  <si>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</si>
  <si>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</si>
  <si>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</si>
  <si>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</si>
  <si>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</si>
  <si>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</si>
  <si>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</si>
  <si>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</si>
  <si>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</si>
  <si>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</si>
  <si>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</si>
  <si>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</si>
  <si>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</si>
  <si>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</si>
  <si>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</si>
  <si>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</si>
  <si>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</si>
  <si>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</si>
  <si>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</si>
  <si>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</si>
  <si>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</si>
  <si>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</si>
  <si>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</si>
  <si>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</si>
  <si>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</si>
  <si>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</si>
  <si>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</si>
  <si>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</si>
  <si>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</si>
  <si>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</si>
  <si>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</si>
  <si>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</si>
  <si>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</si>
  <si>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</si>
  <si>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</si>
  <si>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</si>
  <si>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</si>
  <si>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</si>
  <si>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</si>
  <si>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</si>
  <si>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</si>
  <si>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</si>
  <si>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</si>
  <si>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</si>
  <si>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</si>
  <si>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</si>
  <si>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</si>
  <si>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</si>
  <si>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</si>
  <si>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</si>
  <si>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</si>
  <si>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</si>
  <si>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</si>
  <si>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</si>
  <si>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</si>
  <si>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</si>
  <si>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</si>
  <si>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</si>
  <si>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</si>
  <si>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</si>
  <si>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</si>
  <si>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</si>
  <si>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</si>
  <si>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</si>
  <si>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</si>
  <si>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</si>
  <si>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</si>
  <si>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</si>
  <si>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</si>
  <si>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</si>
  <si>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</si>
  <si>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</si>
  <si>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</si>
  <si>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</si>
  <si>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</si>
  <si>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</si>
  <si>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</si>
  <si>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</si>
  <si>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</si>
  <si>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</si>
  <si>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</si>
  <si>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</si>
  <si>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</si>
  <si>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</si>
  <si>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</si>
  <si>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</si>
  <si>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</si>
  <si>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</si>
  <si>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</si>
  <si>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</si>
  <si>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</si>
  <si>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</si>
  <si>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</si>
  <si>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</si>
  <si>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</si>
  <si>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</si>
  <si>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</si>
  <si>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</si>
  <si>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</si>
  <si>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</si>
  <si>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</si>
  <si>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</si>
  <si>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</si>
  <si>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</si>
  <si>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</si>
  <si>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</si>
  <si>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</si>
  <si>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</si>
  <si>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</si>
  <si>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</si>
  <si>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</si>
  <si>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</si>
  <si>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</si>
  <si>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</si>
  <si>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</si>
  <si>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</si>
  <si>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</si>
  <si>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</si>
  <si>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</si>
  <si>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</si>
  <si>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</si>
  <si>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</si>
  <si>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</si>
  <si>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</si>
  <si>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</si>
  <si>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</si>
  <si>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</si>
  <si>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</si>
  <si>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</si>
  <si>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</si>
  <si>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</si>
  <si>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</si>
  <si>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</si>
  <si>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</si>
  <si>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</si>
  <si>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</si>
  <si>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</si>
  <si>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</si>
  <si>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</si>
  <si>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</si>
  <si>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</si>
  <si>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</si>
  <si>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</si>
  <si>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</si>
  <si>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</si>
  <si>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</si>
  <si>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</si>
  <si>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</si>
  <si>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</si>
  <si>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</si>
  <si>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</si>
  <si>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</si>
  <si>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</si>
  <si>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</si>
  <si>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</si>
  <si>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</si>
  <si>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</si>
  <si>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</si>
  <si>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</si>
  <si>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</si>
  <si>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</si>
  <si>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</si>
  <si>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</si>
  <si>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</si>
  <si>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</si>
  <si>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</si>
  <si>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</si>
  <si>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</si>
  <si>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</si>
  <si>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</si>
  <si>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</si>
  <si>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</si>
  <si>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</si>
  <si>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</si>
  <si>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</si>
  <si>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</si>
  <si>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</si>
  <si>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</si>
  <si>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</si>
  <si>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</si>
  <si>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</si>
  <si>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</si>
  <si>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</si>
  <si>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</si>
  <si>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</si>
  <si>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</si>
  <si>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</si>
  <si>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</si>
  <si>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</si>
  <si>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</si>
  <si>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</si>
  <si>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</si>
  <si>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</si>
  <si>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</si>
  <si>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</si>
  <si>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</si>
  <si>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</si>
  <si>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</si>
  <si>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</si>
  <si>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</si>
  <si>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</si>
  <si>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</si>
  <si>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</si>
  <si>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</si>
  <si>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</si>
  <si>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</si>
  <si>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</si>
  <si>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</si>
  <si>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</si>
  <si>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</si>
  <si>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</si>
  <si>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</si>
  <si>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</si>
  <si>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</si>
  <si>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</si>
  <si>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</si>
  <si>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</si>
  <si>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</si>
  <si>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</si>
  <si>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</si>
  <si>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</si>
  <si>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</si>
  <si>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</si>
  <si>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</si>
  <si>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</si>
  <si>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</si>
  <si>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</si>
  <si>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</si>
  <si>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</si>
  <si>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</si>
  <si>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</si>
  <si>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</si>
  <si>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</si>
  <si>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</si>
  <si>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</si>
  <si>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</si>
  <si>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</si>
  <si>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</si>
  <si>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</si>
  <si>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</si>
  <si>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</si>
  <si>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</si>
  <si>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</si>
  <si>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</si>
  <si>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</si>
  <si>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</si>
  <si>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</si>
  <si>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</si>
  <si>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</si>
  <si>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</si>
  <si>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</si>
  <si>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</si>
  <si>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</si>
  <si>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</si>
  <si>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</si>
  <si>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</si>
  <si>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</si>
  <si>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</si>
  <si>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</si>
  <si>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</si>
  <si>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</si>
  <si>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</si>
  <si>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</si>
  <si>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</si>
  <si>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</si>
  <si>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</si>
  <si>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</si>
  <si>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</si>
  <si>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</si>
  <si>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</si>
  <si>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</si>
  <si>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</si>
  <si>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</si>
  <si>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</si>
  <si>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</si>
  <si>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</si>
  <si>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</si>
  <si>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</si>
  <si>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</si>
  <si>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</si>
  <si>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</si>
  <si>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</si>
  <si>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</si>
  <si>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</si>
  <si>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</si>
  <si>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</si>
  <si>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</si>
  <si>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</si>
  <si>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</si>
  <si>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</si>
  <si>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</si>
  <si>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</si>
  <si>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</si>
  <si>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</si>
  <si>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</si>
  <si>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</si>
  <si>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</si>
  <si>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</si>
  <si>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</si>
  <si>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</si>
  <si>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</si>
  <si>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</si>
  <si>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</si>
  <si>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</si>
  <si>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</si>
  <si>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</si>
  <si>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</si>
  <si>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</si>
  <si>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</si>
  <si>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</si>
  <si>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</si>
  <si>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</si>
  <si>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</si>
  <si>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</si>
  <si>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</si>
  <si>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</si>
  <si>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</si>
  <si>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</si>
  <si>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</si>
  <si>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</si>
  <si>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</si>
  <si>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</si>
  <si>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</si>
  <si>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</si>
  <si>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</si>
  <si>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</si>
  <si>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</si>
  <si>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</si>
  <si>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</si>
  <si>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</si>
  <si>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</si>
  <si>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</si>
  <si>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</si>
  <si>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</si>
  <si>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</si>
  <si>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</si>
  <si>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</si>
  <si>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</si>
  <si>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</si>
  <si>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</si>
  <si>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</si>
  <si>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</si>
  <si>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</si>
  <si>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</si>
  <si>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</si>
  <si>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</si>
  <si>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</si>
  <si>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</si>
  <si>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</si>
  <si>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</si>
  <si>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</si>
  <si>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</si>
  <si>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</si>
  <si>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</si>
  <si>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</si>
  <si>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</si>
  <si>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</si>
  <si>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</si>
  <si>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</si>
  <si>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</si>
  <si>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</si>
  <si>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</si>
  <si>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</si>
  <si>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</si>
  <si>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</si>
  <si>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</si>
  <si>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</si>
  <si>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</si>
  <si>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</si>
  <si>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</si>
  <si>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</si>
  <si>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</si>
  <si>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</si>
  <si>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</si>
  <si>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</si>
  <si>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</si>
  <si>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</si>
  <si>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</si>
  <si>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</si>
  <si>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</si>
  <si>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</si>
  <si>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</si>
  <si>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</si>
  <si>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</si>
  <si>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</si>
  <si>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</si>
  <si>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</si>
  <si>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</si>
  <si>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</si>
  <si>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</si>
  <si>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</si>
  <si>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</si>
  <si>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</si>
  <si>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</si>
  <si>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</si>
  <si>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</si>
  <si>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</si>
  <si>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</si>
  <si>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</si>
  <si>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</si>
  <si>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</si>
  <si>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</si>
  <si>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</si>
  <si>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</si>
  <si>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</si>
  <si>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</si>
  <si>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</si>
  <si>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</si>
  <si>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</si>
  <si>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</si>
  <si>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</si>
  <si>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</si>
  <si>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</si>
  <si>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</si>
  <si>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</si>
  <si>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</si>
  <si>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</si>
  <si>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</si>
  <si>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</si>
  <si>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</si>
  <si>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</si>
  <si>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</si>
  <si>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</si>
  <si>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</si>
  <si>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</si>
  <si>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</si>
  <si>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</si>
  <si>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</si>
  <si>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</si>
  <si>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</si>
  <si>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</si>
  <si>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</si>
  <si>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</si>
  <si>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</si>
  <si>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</si>
  <si>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</si>
  <si>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</si>
  <si>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</si>
  <si>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</si>
  <si>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</si>
  <si>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</si>
  <si>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</si>
  <si>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</si>
  <si>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</si>
  <si>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</si>
  <si>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</si>
  <si>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</si>
  <si>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</si>
  <si>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</si>
  <si>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</si>
  <si>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</si>
  <si>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</si>
  <si>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</si>
  <si>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</si>
  <si>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</si>
  <si>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</si>
  <si>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</si>
  <si>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</si>
  <si>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</si>
  <si>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</si>
  <si>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</si>
  <si>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</si>
  <si>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</si>
  <si>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</si>
  <si>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</si>
  <si>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</si>
  <si>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</si>
  <si>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</si>
  <si>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</si>
  <si>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</si>
  <si>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</si>
  <si>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</si>
  <si>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</si>
  <si>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</si>
  <si>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</si>
  <si>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</si>
  <si>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</si>
  <si>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</si>
  <si>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</si>
  <si>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</si>
  <si>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</si>
  <si>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</si>
  <si>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</si>
  <si>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</si>
  <si>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</si>
  <si>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</si>
  <si>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</si>
  <si>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</si>
  <si>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</si>
  <si>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</si>
  <si>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</si>
  <si>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</si>
  <si>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</si>
  <si>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</si>
  <si>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</si>
  <si>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</si>
  <si>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</si>
  <si>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</si>
  <si>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</si>
  <si>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</si>
  <si>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</si>
  <si>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</si>
  <si>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</si>
  <si>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</si>
  <si>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</si>
  <si>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</si>
  <si>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</si>
  <si>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</si>
  <si>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</si>
  <si>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</si>
  <si>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</si>
  <si>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</si>
  <si>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</si>
  <si>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</si>
  <si>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</si>
  <si>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</si>
  <si>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</si>
  <si>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</si>
  <si>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</si>
  <si>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</si>
  <si>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</si>
  <si>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</si>
  <si>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</si>
  <si>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</si>
  <si>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</si>
  <si>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</si>
  <si>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</si>
  <si>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</si>
  <si>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</si>
  <si>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</si>
  <si>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</si>
  <si>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</si>
  <si>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</si>
  <si>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</si>
  <si>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</si>
  <si>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</si>
  <si>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</si>
  <si>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</si>
  <si>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</si>
  <si>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</si>
  <si>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</si>
  <si>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</si>
  <si>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</si>
  <si>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</si>
  <si>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</si>
  <si>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</si>
  <si>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</si>
  <si>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</si>
  <si>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</si>
  <si>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</si>
  <si>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</si>
  <si>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</si>
  <si>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</si>
  <si>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</si>
  <si>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</si>
  <si>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</si>
  <si>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</si>
  <si>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</si>
  <si>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</si>
  <si>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</si>
  <si>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</si>
  <si>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</si>
  <si>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</si>
  <si>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</si>
  <si>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</si>
  <si>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</si>
  <si>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</si>
  <si>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</si>
  <si>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</si>
  <si>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</si>
  <si>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</si>
  <si>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</si>
  <si>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</si>
  <si>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</si>
  <si>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</si>
  <si>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</si>
  <si>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</si>
  <si>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</si>
  <si>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</si>
  <si>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</si>
  <si>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</si>
  <si>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</si>
  <si>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</si>
  <si>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</si>
  <si>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</si>
  <si>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</si>
  <si>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</si>
  <si>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</si>
  <si>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</si>
  <si>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</si>
  <si>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</si>
  <si>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</si>
  <si>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</si>
  <si>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</si>
  <si>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</si>
  <si>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</si>
  <si>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</si>
  <si>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</si>
  <si>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</si>
  <si>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</si>
  <si>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</si>
  <si>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</si>
  <si>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</si>
  <si>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</si>
  <si>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</si>
  <si>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</si>
  <si>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</si>
  <si>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</si>
  <si>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</si>
  <si>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</si>
  <si>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</si>
  <si>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</si>
  <si>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</si>
  <si>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</si>
  <si>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</si>
  <si>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</si>
  <si>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</si>
  <si>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</si>
  <si>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</si>
  <si>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</si>
  <si>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</si>
  <si>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</si>
  <si>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</si>
  <si>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</si>
  <si>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</si>
  <si>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</si>
  <si>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</si>
  <si>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</si>
  <si>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</si>
  <si>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</si>
  <si>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</si>
  <si>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</si>
  <si>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</si>
  <si>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</si>
  <si>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</si>
  <si>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</si>
  <si>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</si>
  <si>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</si>
  <si>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</si>
  <si>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</si>
  <si>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</si>
  <si>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</si>
  <si>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</si>
  <si>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</si>
  <si>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</si>
  <si>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</si>
  <si>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</si>
  <si>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</si>
  <si>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</si>
  <si>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</si>
  <si>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</si>
  <si>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</si>
  <si>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</si>
  <si>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</si>
  <si>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</si>
  <si>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</si>
  <si>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</si>
  <si>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</si>
  <si>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</si>
  <si>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</si>
  <si>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</si>
  <si>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</si>
  <si>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</si>
  <si>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</si>
  <si>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</si>
  <si>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</si>
  <si>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</si>
  <si>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</si>
  <si>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</si>
  <si>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</si>
  <si>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</si>
  <si>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</si>
  <si>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</si>
  <si>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</si>
  <si>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</si>
  <si>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</si>
  <si>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</si>
  <si>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</si>
  <si>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</si>
  <si>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</si>
  <si>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</si>
  <si>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</si>
  <si>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</si>
  <si>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</si>
  <si>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</si>
  <si>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</si>
  <si>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</si>
  <si>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</si>
  <si>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</si>
  <si>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</si>
  <si>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</si>
  <si>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</si>
  <si>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</si>
  <si>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</si>
  <si>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</si>
  <si>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</si>
  <si>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</si>
  <si>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</si>
  <si>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</si>
  <si>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</si>
  <si>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</si>
  <si>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</si>
  <si>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</si>
  <si>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</si>
  <si>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</si>
  <si>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</si>
  <si>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</si>
  <si>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</si>
  <si>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</si>
  <si>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</si>
  <si>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</si>
  <si>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</si>
  <si>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</si>
  <si>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</si>
  <si>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</si>
  <si>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</si>
  <si>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</si>
  <si>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</si>
  <si>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</si>
  <si>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</si>
  <si>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</si>
  <si>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</si>
  <si>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</si>
  <si>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</si>
  <si>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</si>
  <si>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</si>
  <si>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</si>
  <si>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</si>
  <si>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</si>
  <si>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</si>
  <si>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</si>
  <si>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</si>
  <si>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</si>
  <si>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</si>
  <si>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</si>
  <si>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</si>
  <si>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</si>
  <si>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</si>
  <si>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</si>
  <si>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</si>
  <si>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</si>
  <si>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</si>
  <si>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</si>
  <si>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</si>
  <si>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</si>
  <si>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</si>
  <si>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</si>
  <si>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</si>
  <si>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</si>
  <si>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</si>
  <si>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</si>
  <si>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</si>
  <si>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</si>
  <si>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</si>
  <si>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</si>
  <si>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</si>
  <si>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</si>
  <si>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</si>
  <si>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</si>
  <si>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</si>
  <si>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</si>
  <si>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</si>
  <si>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</si>
  <si>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</si>
  <si>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</si>
  <si>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</si>
  <si>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</si>
  <si>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</si>
  <si>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</si>
  <si>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</si>
  <si>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</si>
  <si>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</si>
  <si>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</si>
  <si>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</si>
  <si>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</si>
  <si>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</si>
  <si>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</si>
  <si>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</si>
  <si>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</si>
  <si>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</si>
  <si>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</si>
  <si>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</si>
  <si>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</si>
  <si>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</si>
  <si>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</si>
  <si>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</si>
  <si>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</si>
  <si>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</si>
  <si>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</si>
  <si>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</si>
  <si>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</si>
  <si>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</si>
  <si>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</si>
  <si>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</si>
  <si>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</si>
  <si>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</si>
  <si>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</si>
  <si>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</si>
  <si>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</si>
  <si>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</si>
  <si>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</si>
  <si>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</si>
  <si>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</si>
  <si>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</si>
  <si>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</si>
  <si>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</si>
  <si>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</si>
  <si>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</si>
  <si>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</si>
  <si>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</si>
  <si>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</si>
  <si>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</si>
  <si>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</si>
  <si>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</si>
  <si>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</si>
  <si>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</si>
  <si>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</si>
  <si>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</si>
  <si>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</si>
  <si>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</si>
  <si>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</si>
  <si>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</si>
  <si>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</si>
  <si>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</si>
  <si>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</si>
  <si>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</si>
  <si>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</si>
  <si>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</si>
  <si>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</si>
  <si>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</si>
  <si>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</si>
  <si>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</si>
  <si>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</si>
  <si>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</si>
  <si>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</si>
  <si>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</si>
  <si>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</si>
  <si>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</si>
  <si>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</si>
  <si>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</si>
  <si>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</si>
  <si>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</si>
  <si>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</si>
  <si>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</si>
  <si>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</si>
  <si>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</si>
  <si>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</si>
  <si>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</si>
  <si>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</si>
  <si>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</si>
  <si>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</si>
  <si>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</si>
  <si>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</si>
  <si>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</si>
  <si>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</si>
  <si>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</si>
  <si>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</si>
  <si>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</si>
  <si>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</si>
  <si>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</si>
  <si>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</si>
  <si>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</si>
  <si>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</si>
  <si>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</si>
  <si>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</si>
  <si>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</si>
  <si>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</si>
  <si>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</si>
  <si>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</si>
  <si>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</si>
  <si>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</si>
  <si>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</si>
  <si>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</si>
  <si>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</si>
  <si>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</si>
  <si>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</si>
  <si>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</si>
  <si>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</si>
  <si>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</si>
  <si>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</si>
  <si>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</si>
  <si>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</si>
  <si>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</si>
  <si>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</si>
  <si>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</si>
  <si>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</si>
  <si>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</si>
  <si>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</si>
  <si>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</si>
  <si>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</si>
  <si>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</si>
  <si>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</si>
  <si>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</si>
  <si>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</si>
  <si>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</si>
  <si>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</si>
  <si>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</si>
  <si>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</si>
  <si>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</si>
  <si>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</si>
  <si>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</si>
  <si>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</si>
  <si>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</si>
  <si>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</si>
  <si>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</si>
  <si>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</si>
  <si>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</si>
  <si>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</si>
  <si>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</si>
  <si>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</si>
  <si>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</si>
  <si>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</si>
  <si>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</si>
  <si>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</si>
  <si>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</si>
  <si>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</si>
  <si>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</si>
  <si>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</si>
  <si>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</si>
  <si>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</si>
  <si>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</si>
  <si>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</si>
  <si>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</si>
  <si>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</si>
  <si>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</si>
  <si>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</si>
  <si>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</si>
  <si>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</si>
  <si>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</si>
  <si>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</si>
  <si>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</si>
  <si>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</si>
  <si>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</si>
  <si>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</si>
  <si>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</si>
  <si>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</si>
  <si>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</si>
  <si>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</si>
  <si>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</si>
  <si>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</si>
  <si>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</si>
  <si>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</si>
  <si>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</si>
  <si>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</si>
  <si>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</si>
  <si>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</si>
  <si>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</si>
  <si>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</si>
  <si>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</si>
  <si>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</si>
  <si>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</si>
  <si>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</si>
  <si>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</si>
  <si>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</si>
  <si>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</si>
  <si>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</si>
  <si>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</si>
  <si>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</si>
  <si>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</si>
  <si>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</si>
  <si>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</si>
  <si>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</si>
  <si>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</si>
  <si>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</si>
  <si>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</si>
  <si>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</si>
  <si>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</si>
  <si>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</si>
  <si>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</si>
  <si>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</si>
  <si>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</si>
  <si>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</si>
  <si>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</si>
  <si>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</si>
  <si>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</si>
  <si>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</si>
  <si>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</si>
  <si>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</si>
  <si>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</si>
  <si>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</si>
  <si>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</si>
  <si>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</si>
  <si>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</si>
  <si>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</si>
  <si>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</si>
  <si>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</si>
  <si>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</si>
  <si>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</si>
  <si>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</si>
  <si>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</si>
  <si>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</si>
  <si>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</si>
  <si>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</si>
  <si>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</si>
  <si>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</si>
  <si>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</si>
  <si>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</si>
  <si>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</si>
  <si>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</si>
  <si>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</si>
  <si>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</si>
  <si>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</si>
  <si>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</si>
  <si>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</si>
  <si>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</si>
  <si>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</si>
  <si>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</si>
  <si>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</si>
  <si>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</si>
  <si>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</si>
  <si>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</si>
  <si>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</si>
  <si>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</si>
  <si>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</si>
  <si>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</si>
  <si>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</si>
  <si>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</si>
  <si>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</si>
  <si>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</si>
  <si>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</si>
  <si>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</si>
  <si>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</si>
  <si>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</si>
  <si>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</si>
  <si>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</si>
  <si>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</si>
  <si>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</si>
  <si>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</si>
  <si>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</si>
  <si>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</si>
  <si>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</si>
  <si>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</si>
  <si>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</si>
  <si>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</si>
  <si>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</si>
  <si>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</si>
  <si>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</si>
  <si>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</si>
  <si>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</si>
  <si>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</si>
  <si>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</si>
  <si>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</si>
  <si>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</si>
  <si>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</si>
  <si>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</si>
  <si>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</si>
  <si>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</si>
  <si>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</si>
  <si>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</si>
  <si>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</si>
  <si>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</si>
  <si>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</si>
  <si>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</si>
  <si>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</si>
  <si>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</si>
  <si>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</si>
  <si>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</si>
  <si>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</si>
  <si>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</si>
  <si>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</si>
  <si>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</si>
  <si>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</si>
  <si>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</si>
  <si>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</si>
  <si>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</si>
  <si>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</si>
  <si>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</si>
  <si>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</si>
  <si>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</si>
  <si>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</si>
  <si>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</si>
  <si>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</si>
  <si>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</si>
  <si>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</si>
  <si>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</si>
  <si>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</si>
  <si>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</si>
  <si>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</si>
  <si>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</si>
  <si>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</si>
  <si>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</si>
  <si>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</si>
  <si>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</si>
  <si>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</si>
  <si>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</si>
  <si>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</si>
  <si>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</si>
  <si>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</si>
  <si>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</si>
  <si>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</si>
  <si>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</si>
  <si>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</si>
  <si>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</si>
  <si>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</si>
  <si>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</si>
  <si>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</si>
  <si>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</si>
  <si>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</si>
  <si>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</si>
  <si>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</si>
  <si>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</si>
  <si>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</si>
  <si>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</si>
  <si>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</si>
  <si>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</si>
  <si>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</si>
  <si>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</si>
  <si>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</si>
  <si>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</si>
  <si>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</si>
  <si>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</si>
  <si>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</si>
  <si>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</si>
  <si>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</si>
  <si>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</si>
  <si>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</si>
  <si>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</si>
  <si>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</si>
  <si>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</si>
  <si>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</si>
  <si>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</si>
  <si>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</si>
  <si>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</si>
  <si>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</si>
  <si>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</si>
  <si>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</si>
  <si>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</si>
  <si>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</si>
  <si>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</si>
  <si>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</si>
  <si>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</si>
  <si>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</si>
  <si>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</si>
  <si>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</si>
  <si>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</si>
  <si>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</si>
  <si>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</si>
  <si>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</si>
  <si>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</si>
  <si>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</si>
  <si>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</si>
  <si>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</si>
  <si>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</si>
  <si>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</si>
  <si>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</si>
  <si>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</si>
  <si>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</si>
  <si>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</si>
  <si>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</si>
  <si>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</si>
  <si>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</si>
  <si>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</si>
  <si>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</si>
  <si>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</si>
  <si>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</si>
  <si>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</si>
  <si>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</si>
  <si>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</si>
  <si>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</si>
  <si>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</si>
  <si>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</si>
  <si>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</si>
  <si>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</si>
  <si>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</si>
  <si>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</si>
  <si>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</si>
  <si>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</si>
  <si>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</si>
  <si>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</si>
  <si>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</si>
  <si>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</si>
  <si>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</si>
  <si>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</si>
  <si>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</si>
  <si>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</si>
  <si>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</si>
  <si>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</si>
  <si>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</si>
  <si>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</si>
  <si>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</si>
  <si>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</si>
  <si>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</si>
  <si>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</si>
  <si>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</si>
  <si>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</si>
  <si>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</si>
  <si>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</si>
  <si>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</si>
  <si>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</si>
  <si>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</si>
  <si>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</si>
  <si>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</si>
  <si>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</si>
  <si>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</si>
  <si>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</si>
  <si>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</si>
  <si>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</si>
  <si>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</si>
  <si>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</si>
  <si>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</si>
  <si>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</si>
  <si>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</si>
  <si>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</si>
  <si>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</si>
  <si>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</si>
  <si>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</si>
  <si>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</si>
  <si>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</si>
  <si>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</si>
  <si>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</si>
  <si>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</si>
  <si>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</si>
  <si>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</si>
  <si>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</si>
  <si>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</si>
  <si>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</si>
  <si>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</si>
  <si>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</si>
  <si>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</si>
  <si>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</si>
  <si>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</si>
  <si>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</si>
  <si>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</si>
  <si>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</si>
  <si>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</si>
  <si>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</si>
  <si>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</si>
  <si>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</si>
  <si>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</si>
  <si>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</si>
  <si>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</si>
  <si>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</si>
  <si>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</si>
  <si>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</si>
  <si>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</si>
  <si>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</si>
  <si>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</si>
  <si>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</si>
  <si>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</si>
  <si>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</si>
  <si>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</si>
  <si>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</si>
  <si>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</si>
  <si>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</si>
  <si>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</si>
  <si>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</si>
  <si>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</si>
  <si>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</si>
  <si>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</si>
  <si>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</si>
  <si>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</si>
  <si>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</si>
  <si>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</si>
  <si>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</si>
  <si>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</si>
  <si>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</si>
  <si>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</si>
  <si>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</si>
  <si>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</si>
  <si>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</si>
  <si>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</si>
  <si>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</si>
  <si>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</si>
  <si>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</si>
  <si>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</si>
  <si>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</si>
  <si>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</si>
  <si>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</si>
  <si>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</si>
  <si>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</si>
  <si>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</si>
  <si>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</si>
  <si>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</si>
  <si>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</si>
  <si>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</si>
  <si>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</si>
  <si>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</si>
  <si>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</si>
  <si>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</si>
  <si>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</si>
  <si>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</si>
  <si>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</si>
  <si>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</si>
  <si>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</si>
  <si>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</si>
  <si>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</si>
  <si>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</si>
  <si>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</si>
  <si>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</si>
  <si>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</si>
  <si>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</si>
  <si>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</si>
  <si>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</si>
  <si>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</si>
  <si>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</si>
  <si>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</si>
  <si>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</si>
  <si>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</si>
  <si>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</si>
  <si>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</si>
  <si>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</si>
  <si>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</si>
  <si>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</si>
  <si>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</si>
  <si>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</si>
  <si>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</si>
  <si>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</si>
  <si>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</si>
  <si>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</si>
  <si>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</si>
  <si>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</si>
  <si>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</si>
  <si>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</si>
  <si>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</si>
  <si>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</si>
  <si>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</si>
  <si>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</si>
  <si>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</si>
  <si>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</si>
  <si>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</si>
  <si>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</si>
  <si>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</si>
  <si>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</si>
  <si>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</si>
  <si>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</si>
  <si>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</si>
  <si>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</si>
  <si>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</si>
  <si>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</si>
  <si>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</si>
  <si>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</si>
  <si>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</si>
  <si>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</si>
  <si>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</si>
  <si>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</si>
  <si>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</si>
  <si>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</si>
  <si>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</si>
  <si>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</si>
  <si>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</si>
  <si>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</si>
  <si>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</si>
  <si>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</si>
  <si>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</si>
  <si>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</si>
  <si>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</si>
  <si>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</si>
  <si>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</si>
  <si>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</si>
  <si>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</si>
  <si>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</si>
  <si>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</si>
  <si>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</si>
  <si>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</si>
  <si>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</si>
  <si>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</si>
  <si>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</si>
  <si>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</si>
  <si>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</si>
  <si>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</si>
  <si>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</si>
  <si>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</si>
  <si>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</si>
  <si>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</si>
  <si>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</si>
  <si>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</si>
  <si>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</si>
  <si>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</si>
  <si>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</si>
  <si>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</si>
  <si>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</si>
  <si>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</si>
  <si>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</si>
  <si>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</si>
  <si>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</si>
  <si>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</si>
  <si>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</si>
  <si>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</si>
  <si>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</si>
  <si>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</si>
  <si>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</si>
  <si>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</si>
  <si>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</si>
  <si>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</si>
  <si>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</si>
  <si>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</si>
  <si>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</si>
  <si>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</si>
  <si>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</si>
  <si>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</si>
  <si>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</si>
  <si>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</si>
  <si>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</si>
  <si>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</si>
  <si>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</si>
  <si>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</si>
  <si>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</si>
  <si>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</si>
  <si>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</si>
  <si>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</si>
  <si>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</si>
  <si>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</si>
  <si>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</si>
  <si>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</si>
  <si>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</si>
  <si>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</si>
  <si>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</si>
  <si>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</si>
  <si>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</si>
  <si>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</si>
  <si>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</si>
  <si>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</si>
  <si>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</si>
  <si>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</si>
  <si>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</si>
  <si>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</si>
  <si>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</si>
  <si>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</si>
  <si>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</si>
  <si>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</si>
  <si>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</si>
  <si>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</si>
  <si>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</si>
  <si>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</si>
  <si>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</si>
  <si>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</si>
  <si>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</si>
  <si>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</si>
  <si>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</si>
  <si>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</si>
  <si>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</si>
  <si>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</si>
  <si>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</si>
  <si>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</si>
  <si>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</si>
  <si>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</si>
  <si>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</si>
  <si>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</si>
  <si>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</si>
  <si>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</si>
  <si>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</si>
  <si>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</si>
  <si>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</si>
  <si>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</si>
  <si>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</si>
  <si>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</si>
  <si>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</si>
  <si>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</si>
  <si>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</si>
  <si>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</si>
  <si>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</si>
  <si>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</si>
  <si>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</si>
  <si>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</si>
  <si>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</si>
  <si>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</si>
  <si>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</si>
  <si>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</si>
  <si>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</si>
  <si>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</si>
  <si>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</si>
  <si>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</si>
  <si>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</si>
  <si>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</si>
  <si>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</si>
  <si>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</si>
  <si>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</si>
  <si>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</si>
  <si>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</si>
  <si>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</si>
  <si>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</si>
  <si>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</si>
  <si>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</si>
  <si>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</si>
  <si>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</si>
  <si>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</si>
  <si>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</si>
  <si>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</si>
  <si>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</si>
  <si>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</si>
  <si>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</si>
  <si>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</si>
  <si>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</si>
  <si>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</si>
  <si>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</si>
  <si>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</si>
  <si>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</si>
  <si>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</si>
  <si>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</si>
  <si>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</si>
  <si>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</si>
  <si>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</si>
  <si>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</si>
  <si>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</si>
  <si>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</si>
  <si>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</si>
  <si>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</si>
  <si>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</si>
  <si>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</si>
  <si>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</si>
  <si>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</si>
  <si>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</si>
  <si>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</si>
  <si>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</si>
  <si>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</si>
  <si>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</si>
  <si>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</si>
  <si>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</si>
  <si>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</si>
  <si>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</si>
  <si>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</si>
  <si>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</si>
  <si>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</si>
  <si>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</si>
  <si>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</si>
  <si>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</si>
  <si>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</si>
  <si>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</si>
  <si>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</si>
  <si>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</si>
  <si>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</si>
  <si>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</si>
  <si>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</si>
  <si>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</si>
  <si>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</si>
  <si>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</si>
  <si>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</si>
  <si>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</si>
  <si>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</si>
  <si>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</si>
  <si>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</si>
  <si>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</si>
  <si>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</si>
  <si>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</si>
  <si>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</si>
  <si>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</si>
  <si>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</si>
  <si>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</si>
  <si>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</si>
  <si>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</si>
  <si>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</si>
  <si>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</si>
  <si>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</si>
  <si>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</si>
  <si>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</si>
  <si>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</si>
  <si>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</si>
  <si>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</si>
  <si>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</si>
  <si>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</si>
  <si>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</si>
  <si>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</si>
  <si>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</si>
  <si>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</si>
  <si>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</si>
  <si>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</si>
  <si>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</si>
  <si>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</si>
  <si>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</si>
  <si>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</si>
  <si>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</si>
  <si>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</si>
  <si>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</si>
  <si>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</si>
  <si>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</si>
  <si>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</si>
  <si>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</si>
  <si>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</si>
  <si>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</si>
  <si>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</si>
  <si>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</si>
  <si>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</si>
  <si>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</si>
  <si>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</si>
  <si>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</si>
  <si>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</si>
  <si>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</si>
  <si>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</si>
  <si>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</si>
  <si>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</si>
  <si>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</si>
  <si>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</si>
  <si>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</si>
  <si>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</si>
  <si>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</si>
  <si>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</si>
  <si>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</si>
  <si>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</si>
  <si>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</si>
  <si>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</si>
  <si>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</si>
  <si>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</si>
  <si>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</si>
  <si>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</si>
  <si>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</si>
  <si>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</si>
  <si>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</si>
  <si>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</si>
  <si>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</si>
  <si>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</si>
  <si>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</si>
  <si>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</si>
  <si>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</si>
  <si>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</si>
  <si>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</si>
  <si>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</si>
  <si>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</si>
  <si>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</si>
  <si>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</si>
  <si>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</si>
  <si>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</si>
  <si>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</si>
  <si>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</si>
  <si>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</si>
  <si>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</si>
  <si>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</si>
  <si>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</si>
  <si>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</si>
  <si>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</si>
  <si>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</si>
  <si>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</si>
  <si>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</si>
  <si>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</si>
  <si>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</si>
  <si>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</si>
  <si>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</si>
  <si>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</si>
  <si>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</si>
  <si>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</si>
  <si>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</si>
  <si>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</si>
  <si>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</si>
  <si>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</si>
  <si>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</si>
  <si>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</si>
  <si>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</si>
  <si>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</si>
  <si>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</si>
  <si>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</si>
  <si>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</si>
  <si>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</si>
  <si>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</si>
  <si>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</si>
  <si>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</si>
  <si>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</si>
  <si>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</si>
  <si>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</si>
  <si>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</si>
  <si>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</si>
  <si>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</si>
  <si>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</si>
  <si>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</si>
  <si>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</si>
  <si>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</si>
  <si>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</si>
  <si>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</si>
  <si>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</si>
  <si>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</si>
  <si>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</si>
  <si>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</si>
  <si>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</si>
  <si>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</si>
  <si>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</si>
  <si>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</si>
  <si>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</si>
  <si>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</si>
  <si>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</si>
  <si>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</si>
  <si>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</si>
  <si>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</si>
  <si>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</si>
  <si>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</si>
  <si>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</si>
  <si>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</si>
  <si>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</si>
  <si>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</si>
  <si>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</si>
  <si>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</si>
  <si>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</si>
  <si>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</si>
  <si>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</si>
  <si>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</si>
  <si>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</si>
  <si>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</si>
  <si>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</si>
  <si>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</si>
  <si>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</si>
  <si>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</si>
  <si>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</si>
  <si>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</si>
  <si>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</si>
  <si>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</si>
  <si>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</si>
  <si>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</si>
  <si>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</si>
  <si>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</si>
  <si>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</si>
  <si>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</si>
  <si>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</si>
  <si>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</si>
  <si>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</si>
  <si>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</si>
  <si>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</si>
  <si>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</si>
  <si>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</si>
  <si>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</si>
  <si>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</si>
  <si>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</si>
  <si>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</si>
  <si>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</si>
  <si>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</si>
  <si>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</si>
  <si>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</si>
  <si>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</si>
  <si>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</si>
  <si>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</si>
  <si>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</si>
  <si>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</si>
  <si>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</si>
  <si>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</si>
  <si>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</si>
  <si>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</si>
  <si>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</si>
  <si>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</si>
  <si>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</si>
  <si>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</si>
  <si>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</si>
  <si>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</si>
  <si>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</si>
  <si>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</si>
  <si>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</si>
  <si>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</si>
  <si>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</si>
  <si>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</si>
  <si>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</si>
  <si>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</si>
  <si>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</si>
  <si>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</si>
  <si>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</si>
  <si>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</si>
  <si>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</si>
  <si>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</si>
  <si>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</si>
  <si>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</si>
  <si>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</si>
  <si>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</si>
  <si>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</si>
  <si>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</si>
  <si>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</si>
  <si>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</si>
  <si>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</si>
  <si>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</si>
  <si>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</si>
  <si>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</si>
  <si>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</si>
  <si>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</si>
  <si>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</si>
  <si>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</si>
  <si>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</si>
  <si>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</si>
  <si>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</si>
  <si>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</si>
  <si>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</si>
  <si>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</si>
  <si>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</si>
  <si>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</si>
  <si>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</si>
  <si>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</si>
  <si>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</si>
  <si>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</si>
  <si>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</si>
  <si>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</si>
  <si>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</si>
  <si>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</si>
  <si>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</si>
  <si>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</si>
  <si>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</si>
  <si>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</si>
  <si>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</si>
  <si>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</si>
  <si>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</si>
  <si>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</si>
  <si>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</si>
  <si>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</si>
  <si>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</si>
  <si>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</si>
  <si>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</si>
  <si>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</si>
  <si>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</si>
  <si>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</si>
  <si>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</si>
  <si>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</si>
  <si>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</si>
  <si>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</si>
  <si>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</si>
  <si>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</si>
  <si>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</si>
  <si>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</si>
  <si>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</si>
  <si>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</si>
  <si>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</si>
  <si>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</si>
  <si>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</si>
  <si>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</si>
  <si>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</si>
  <si>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</si>
  <si>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</si>
  <si>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</si>
  <si>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</si>
  <si>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</si>
  <si>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</si>
  <si>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</si>
  <si>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</si>
  <si>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</si>
  <si>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</si>
  <si>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</si>
  <si>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</si>
  <si>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</si>
  <si>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</si>
  <si>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</si>
  <si>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</si>
  <si>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</si>
  <si>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</si>
  <si>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</si>
  <si>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</si>
  <si>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</si>
  <si>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</si>
  <si>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</si>
  <si>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</si>
  <si>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</si>
  <si>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</si>
  <si>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</si>
  <si>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</si>
  <si>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</si>
  <si>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</si>
  <si>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</si>
  <si>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</si>
  <si>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</si>
  <si>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</si>
  <si>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</si>
  <si>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</si>
  <si>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</si>
  <si>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</si>
  <si>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</si>
  <si>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</si>
  <si>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</si>
  <si>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</si>
  <si>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</si>
  <si>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</si>
  <si>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</si>
  <si>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</si>
  <si>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</si>
  <si>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</si>
  <si>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</si>
  <si>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</si>
  <si>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</si>
  <si>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</si>
  <si>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</si>
  <si>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</si>
  <si>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</si>
  <si>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</si>
  <si>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</si>
  <si>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</si>
  <si>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</si>
  <si>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</si>
  <si>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</si>
  <si>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</si>
  <si>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</si>
  <si>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</si>
  <si>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</si>
  <si>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</si>
  <si>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</si>
  <si>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</si>
  <si>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</si>
  <si>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</si>
  <si>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</si>
  <si>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</si>
  <si>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</si>
  <si>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</si>
  <si>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</si>
  <si>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</si>
  <si>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</si>
  <si>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</si>
  <si>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</si>
  <si>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</si>
  <si>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</si>
  <si>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</si>
  <si>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</si>
  <si>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</si>
  <si>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</si>
  <si>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</si>
  <si>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</si>
  <si>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</si>
  <si>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</si>
  <si>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</si>
  <si>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</si>
  <si>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</si>
  <si>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</si>
  <si>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</si>
  <si>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</si>
  <si>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</si>
  <si>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</si>
  <si>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</si>
  <si>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</si>
  <si>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</si>
  <si>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</si>
  <si>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</si>
  <si>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</si>
  <si>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</si>
  <si>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</si>
  <si>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</si>
  <si>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</si>
  <si>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</si>
  <si>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</si>
  <si>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</si>
  <si>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</si>
  <si>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</si>
  <si>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</si>
  <si>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</si>
  <si>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</si>
  <si>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</si>
  <si>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</si>
  <si>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</si>
  <si>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</si>
  <si>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</si>
  <si>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</si>
  <si>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</si>
  <si>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</si>
  <si>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</si>
  <si>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</si>
  <si>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</si>
  <si>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</si>
  <si>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</si>
  <si>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</si>
  <si>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</si>
  <si>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</si>
  <si>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</si>
  <si>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</si>
  <si>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</si>
  <si>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</si>
  <si>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</si>
  <si>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</si>
  <si>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</si>
  <si>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</si>
  <si>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</si>
  <si>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</si>
  <si>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</si>
  <si>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</si>
  <si>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</si>
  <si>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</si>
  <si>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</si>
  <si>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</si>
  <si>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</si>
  <si>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</si>
  <si>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</si>
  <si>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</si>
  <si>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</si>
  <si>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</si>
  <si>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</si>
  <si>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</si>
  <si>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</si>
  <si>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</si>
  <si>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</si>
  <si>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</si>
  <si>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</si>
  <si>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</si>
  <si>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</si>
  <si>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</si>
  <si>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</si>
  <si>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</si>
  <si>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</si>
  <si>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</si>
  <si>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</si>
  <si>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</si>
  <si>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</si>
  <si>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</si>
  <si>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</si>
  <si>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</si>
  <si>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</si>
  <si>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</si>
  <si>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</si>
  <si>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</si>
  <si>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</si>
  <si>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</si>
  <si>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</si>
  <si>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</si>
  <si>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</si>
  <si>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</si>
  <si>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</si>
  <si>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</si>
  <si>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</si>
  <si>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</si>
  <si>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</si>
  <si>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</si>
  <si>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</si>
  <si>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</si>
  <si>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</si>
  <si>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</si>
  <si>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</si>
  <si>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</si>
  <si>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</si>
  <si>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</si>
  <si>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</si>
  <si>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</si>
  <si>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</si>
  <si>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</si>
  <si>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</si>
  <si>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</si>
  <si>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</si>
  <si>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</si>
  <si>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</si>
  <si>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</si>
  <si>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</si>
  <si>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</si>
  <si>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</si>
  <si>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</si>
  <si>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</si>
  <si>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</si>
  <si>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</si>
  <si>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</si>
  <si>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</si>
  <si>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</si>
  <si>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</si>
  <si>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</si>
  <si>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</si>
  <si>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</si>
  <si>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</si>
  <si>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</si>
  <si>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</si>
  <si>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</si>
  <si>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</si>
  <si>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</si>
  <si>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</si>
  <si>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</si>
  <si>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</si>
  <si>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</si>
  <si>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</si>
  <si>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</si>
  <si>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</si>
  <si>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</si>
  <si>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</si>
  <si>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</si>
  <si>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</si>
  <si>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</si>
  <si>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</si>
  <si>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</si>
  <si>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</si>
  <si>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</si>
  <si>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</si>
  <si>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</si>
  <si>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</si>
  <si>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</si>
  <si>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</si>
  <si>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</si>
  <si>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</si>
  <si>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</si>
  <si>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</si>
  <si>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</si>
  <si>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</si>
  <si>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</si>
  <si>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</si>
  <si>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</si>
  <si>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</si>
  <si>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</si>
  <si>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</si>
  <si>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</si>
  <si>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</si>
  <si>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</si>
  <si>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</si>
  <si>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</si>
  <si>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</si>
  <si>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</si>
  <si>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</si>
  <si>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</si>
  <si>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</si>
  <si>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</si>
  <si>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</si>
  <si>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</si>
  <si>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</si>
  <si>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</si>
  <si>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</si>
  <si>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</si>
  <si>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</si>
  <si>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</si>
  <si>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</si>
  <si>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</si>
  <si>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</si>
  <si>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</si>
  <si>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</si>
  <si>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</si>
  <si>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</si>
  <si>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</si>
  <si>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</si>
  <si>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</si>
  <si>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</si>
  <si>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</si>
  <si>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</si>
  <si>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</si>
  <si>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</si>
  <si>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</si>
  <si>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</si>
  <si>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</si>
  <si>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</si>
  <si>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</si>
  <si>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</si>
  <si>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</si>
  <si>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</si>
  <si>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</si>
  <si>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</si>
  <si>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</si>
  <si>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</si>
  <si>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</si>
  <si>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</si>
  <si>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</si>
  <si>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</si>
  <si>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</si>
  <si>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</si>
  <si>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</si>
  <si>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</si>
  <si>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</si>
  <si>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</si>
  <si>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</si>
  <si>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</si>
  <si>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</si>
  <si>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</si>
  <si>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</si>
  <si>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</si>
  <si>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</si>
  <si>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</si>
  <si>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</si>
  <si>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</si>
  <si>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</si>
  <si>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</si>
  <si>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</si>
  <si>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</si>
  <si>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</si>
  <si>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</si>
  <si>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</si>
  <si>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</si>
  <si>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</si>
  <si>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</si>
  <si>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</si>
  <si>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</si>
  <si>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</si>
  <si>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</si>
  <si>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</si>
  <si>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</si>
  <si>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</si>
  <si>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</si>
  <si>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</si>
  <si>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</si>
  <si>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</si>
  <si>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</si>
  <si>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</si>
  <si>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</si>
  <si>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</si>
  <si>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</si>
  <si>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</si>
  <si>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</si>
  <si>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</si>
  <si>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</si>
  <si>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</si>
  <si>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</si>
  <si>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</si>
  <si>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</si>
  <si>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</si>
  <si>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</si>
  <si>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</si>
  <si>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</si>
  <si>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</si>
  <si>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</si>
  <si>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</si>
  <si>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</si>
  <si>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</si>
  <si>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</si>
  <si>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</si>
  <si>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</si>
  <si>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</si>
  <si>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</si>
  <si>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</si>
  <si>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</si>
  <si>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</si>
  <si>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</si>
  <si>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</si>
  <si>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</si>
  <si>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</si>
  <si>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</si>
  <si>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</si>
  <si>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</si>
  <si>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</si>
  <si>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</si>
  <si>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</si>
  <si>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</si>
  <si>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</si>
  <si>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</si>
  <si>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</si>
  <si>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</si>
  <si>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</si>
  <si>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</si>
  <si>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</si>
  <si>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</si>
  <si>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</si>
  <si>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</si>
  <si>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</si>
  <si>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</si>
  <si>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</si>
  <si>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</si>
  <si>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</si>
  <si>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</si>
  <si>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</si>
  <si>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</si>
  <si>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</si>
  <si>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</si>
  <si>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</si>
  <si>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</si>
  <si>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</si>
  <si>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</si>
  <si>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</si>
  <si>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</si>
  <si>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</si>
  <si>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</si>
  <si>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</si>
  <si>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</si>
  <si>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</si>
  <si>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</si>
  <si>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</si>
  <si>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</si>
  <si>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</si>
  <si>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</si>
  <si>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</si>
  <si>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</si>
  <si>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</si>
  <si>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</si>
  <si>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</si>
  <si>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</si>
  <si>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</si>
  <si>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</si>
  <si>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</si>
  <si>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</si>
  <si>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</si>
  <si>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</si>
  <si>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</si>
  <si>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</si>
  <si>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</si>
  <si>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</si>
  <si>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</si>
  <si>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</si>
  <si>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</si>
  <si>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</si>
  <si>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</si>
  <si>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</si>
  <si>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</si>
  <si>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</si>
  <si>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</si>
  <si>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</si>
  <si>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</si>
  <si>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</si>
  <si>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</si>
  <si>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</si>
  <si>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</si>
  <si>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</si>
  <si>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</si>
  <si>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</si>
  <si>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</si>
  <si>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</si>
  <si>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</si>
  <si>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</si>
  <si>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</si>
  <si>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</si>
  <si>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</si>
  <si>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</si>
  <si>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</si>
  <si>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</si>
  <si>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</si>
  <si>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</si>
  <si>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</si>
  <si>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</si>
  <si>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</si>
  <si>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</si>
  <si>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</si>
  <si>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</si>
  <si>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</si>
  <si>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</si>
  <si>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</si>
  <si>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</si>
  <si>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</si>
  <si>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</si>
  <si>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</si>
  <si>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</si>
  <si>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</si>
  <si>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</si>
  <si>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</si>
  <si>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</si>
  <si>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</si>
  <si>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</si>
  <si>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</si>
  <si>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</si>
  <si>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</si>
  <si>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</si>
  <si>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</si>
  <si>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</si>
  <si>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</si>
  <si>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</si>
  <si>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</si>
  <si>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</si>
  <si>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</si>
  <si>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</si>
  <si>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</si>
  <si>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</si>
  <si>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</si>
  <si>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</si>
  <si>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</si>
  <si>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</si>
  <si>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</si>
  <si>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</si>
  <si>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</si>
  <si>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</si>
  <si>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</si>
  <si>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</si>
  <si>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</si>
  <si>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</si>
  <si>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</si>
  <si>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</si>
  <si>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</si>
  <si>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</si>
  <si>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</si>
  <si>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</si>
  <si>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</si>
  <si>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</si>
  <si>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</si>
  <si>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</si>
  <si>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</si>
  <si>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</si>
  <si>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</si>
  <si>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</si>
  <si>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</si>
  <si>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</si>
  <si>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</si>
  <si>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</si>
  <si>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</si>
  <si>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</si>
  <si>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</si>
  <si>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</si>
  <si>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</si>
  <si>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</si>
  <si>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</si>
  <si>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</si>
  <si>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</si>
  <si>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</si>
  <si>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</si>
  <si>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</si>
  <si>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</si>
  <si>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</si>
  <si>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</si>
  <si>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</si>
  <si>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</si>
  <si>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</si>
  <si>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</si>
  <si>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</si>
  <si>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</si>
  <si>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</si>
  <si>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</si>
  <si>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</si>
  <si>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</si>
  <si>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</si>
  <si>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</si>
  <si>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</si>
  <si>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</si>
  <si>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</si>
  <si>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</si>
  <si>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</si>
  <si>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</si>
  <si>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</si>
  <si>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</si>
  <si>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</si>
  <si>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</si>
  <si>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</si>
  <si>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</si>
  <si>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</si>
  <si>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</si>
  <si>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</si>
  <si>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</si>
  <si>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</si>
  <si>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</si>
  <si>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</si>
  <si>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</si>
  <si>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</si>
  <si>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</si>
  <si>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</si>
  <si>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</si>
  <si>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</si>
  <si>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</si>
  <si>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</si>
  <si>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</si>
  <si>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</si>
  <si>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</si>
  <si>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</si>
  <si>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</si>
  <si>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</si>
  <si>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</si>
  <si>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</si>
  <si>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</si>
  <si>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</si>
  <si>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</si>
  <si>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</si>
  <si>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</si>
  <si>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</si>
  <si>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</si>
  <si>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</si>
  <si>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</si>
  <si>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</si>
  <si>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</si>
  <si>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</si>
  <si>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</si>
  <si>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</si>
  <si>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</si>
  <si>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</si>
  <si>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</si>
  <si>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</si>
  <si>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</si>
  <si>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</si>
  <si>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</si>
  <si>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</si>
  <si>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</si>
  <si>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</si>
  <si>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</si>
  <si>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</si>
  <si>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</si>
  <si>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</si>
  <si>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</si>
  <si>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</si>
  <si>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</si>
  <si>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</si>
  <si>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</si>
  <si>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</si>
  <si>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</si>
  <si>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</si>
  <si>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</si>
  <si>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</si>
  <si>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</si>
  <si>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</si>
  <si>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</si>
  <si>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</si>
  <si>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</si>
  <si>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</si>
  <si>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</si>
  <si>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</si>
  <si>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</si>
  <si>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</si>
  <si>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</si>
  <si>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</si>
  <si>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</si>
  <si>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</si>
  <si>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</si>
  <si>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</si>
  <si>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</si>
  <si>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</si>
  <si>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</si>
  <si>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</si>
  <si>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</si>
  <si>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</si>
  <si>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</si>
  <si>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</si>
  <si>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</si>
  <si>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</si>
  <si>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</si>
  <si>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</si>
  <si>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</si>
  <si>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</si>
  <si>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</si>
  <si>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</si>
  <si>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</si>
  <si>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</si>
  <si>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</si>
  <si>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</si>
  <si>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</si>
  <si>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</si>
  <si>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</si>
  <si>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</si>
  <si>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</si>
  <si>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</si>
  <si>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</si>
  <si>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</si>
  <si>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</si>
  <si>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</si>
  <si>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</si>
  <si>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</si>
  <si>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</si>
  <si>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</si>
  <si>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</si>
  <si>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</si>
  <si>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</si>
  <si>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</si>
  <si>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</si>
  <si>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</si>
  <si>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</si>
  <si>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</si>
  <si>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</si>
  <si>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</si>
  <si>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</si>
  <si>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</si>
  <si>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</si>
  <si>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</si>
  <si>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</si>
  <si>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</si>
  <si>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</si>
  <si>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</si>
  <si>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</si>
  <si>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</si>
  <si>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</si>
  <si>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</si>
  <si>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</si>
  <si>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</si>
  <si>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</si>
  <si>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</si>
  <si>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</si>
  <si>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</si>
  <si>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</si>
  <si>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</si>
  <si>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</si>
  <si>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</si>
  <si>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</si>
  <si>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</si>
  <si>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</si>
  <si>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</si>
  <si>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</si>
  <si>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</si>
  <si>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</si>
  <si>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</si>
  <si>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</si>
  <si>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</si>
  <si>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</si>
  <si>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</si>
  <si>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</si>
  <si>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</si>
  <si>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</si>
  <si>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</si>
  <si>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</si>
  <si>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</si>
  <si>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</si>
  <si>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</si>
  <si>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</si>
  <si>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</si>
  <si>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</si>
  <si>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</si>
  <si>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</si>
  <si>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</si>
  <si>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</si>
  <si>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</si>
  <si>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</si>
  <si>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</si>
  <si>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</si>
  <si>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</si>
  <si>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</si>
  <si>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</si>
  <si>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</si>
  <si>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</si>
  <si>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</si>
  <si>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</si>
  <si>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</si>
  <si>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</si>
  <si>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</si>
  <si>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</si>
  <si>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</si>
  <si>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</si>
  <si>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</si>
  <si>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</si>
  <si>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</si>
  <si>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</si>
  <si>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</si>
  <si>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</si>
  <si>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</si>
  <si>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</si>
  <si>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</si>
  <si>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</si>
  <si>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</si>
  <si>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</si>
  <si>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</si>
  <si>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</si>
  <si>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</si>
  <si>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</si>
  <si>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</si>
  <si>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</si>
  <si>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</si>
  <si>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</si>
  <si>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</si>
  <si>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</si>
  <si>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</si>
  <si>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</si>
  <si>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</si>
  <si>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</si>
  <si>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</si>
  <si>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</si>
  <si>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</si>
  <si>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</si>
  <si>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</si>
  <si>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</si>
  <si>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</si>
  <si>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</si>
  <si>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</si>
  <si>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</si>
  <si>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</si>
  <si>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</si>
  <si>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</si>
  <si>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</si>
  <si>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</si>
  <si>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</si>
  <si>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</si>
  <si>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</si>
  <si>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</si>
  <si>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</si>
  <si>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</si>
  <si>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</si>
  <si>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</si>
  <si>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</si>
  <si>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</si>
  <si>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</si>
  <si>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</si>
  <si>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</si>
  <si>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</si>
  <si>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</si>
  <si>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</si>
  <si>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</si>
  <si>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</si>
  <si>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</si>
  <si>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</si>
  <si>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</si>
  <si>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</si>
  <si>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</si>
  <si>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</si>
  <si>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</si>
  <si>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</si>
  <si>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</si>
  <si>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</si>
  <si>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</si>
  <si>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</si>
  <si>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</si>
  <si>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</si>
  <si>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</si>
  <si>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</si>
  <si>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</si>
  <si>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</si>
  <si>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</si>
  <si>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</si>
  <si>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</si>
  <si>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</si>
  <si>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</si>
  <si>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</si>
  <si>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</si>
  <si>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</si>
  <si>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</si>
  <si>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</si>
  <si>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</si>
  <si>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</si>
  <si>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</si>
  <si>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</si>
  <si>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</si>
  <si>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</si>
  <si>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</si>
  <si>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</si>
  <si>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</si>
  <si>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</si>
  <si>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</si>
  <si>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</si>
  <si>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</si>
  <si>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</si>
  <si>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</si>
  <si>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</si>
  <si>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</si>
  <si>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</si>
  <si>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</si>
  <si>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</si>
  <si>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</si>
  <si>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</si>
  <si>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</si>
  <si>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</si>
  <si>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</si>
  <si>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</si>
  <si>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</si>
  <si>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</si>
  <si>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</si>
  <si>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</si>
  <si>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</si>
  <si>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</si>
  <si>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</si>
  <si>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</si>
  <si>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</si>
  <si>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</si>
  <si>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</si>
  <si>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</si>
  <si>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</si>
  <si>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</si>
  <si>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</si>
  <si>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</si>
  <si>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</si>
  <si>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</si>
  <si>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</si>
  <si>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</si>
  <si>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</si>
  <si>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</si>
  <si>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</si>
  <si>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</si>
  <si>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</si>
  <si>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</si>
  <si>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</si>
  <si>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</si>
  <si>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</si>
  <si>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</si>
  <si>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</si>
  <si>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</si>
  <si>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</si>
  <si>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</si>
  <si>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</si>
  <si>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</si>
  <si>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</si>
  <si>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</si>
  <si>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</si>
  <si>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</si>
  <si>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</si>
  <si>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</si>
  <si>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</si>
  <si>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</si>
  <si>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</si>
  <si>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</si>
  <si>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</si>
  <si>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</si>
  <si>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</si>
  <si>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</si>
  <si>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</si>
  <si>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</si>
  <si>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</si>
  <si>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</si>
  <si>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</si>
  <si>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</si>
  <si>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</si>
  <si>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</si>
  <si>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</si>
  <si>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</si>
  <si>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</si>
  <si>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</si>
  <si>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</si>
  <si>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</si>
  <si>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</si>
  <si>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</si>
  <si>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</si>
  <si>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</si>
  <si>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</si>
  <si>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</si>
  <si>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</si>
  <si>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</si>
  <si>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</si>
  <si>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</si>
  <si>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</si>
  <si>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</si>
  <si>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</si>
  <si>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</si>
  <si>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</si>
  <si>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</si>
  <si>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</si>
  <si>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</si>
  <si>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</si>
  <si>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</si>
  <si>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</si>
  <si>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</si>
  <si>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</si>
  <si>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</si>
  <si>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</si>
  <si>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</si>
  <si>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</si>
  <si>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</si>
  <si>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</si>
  <si>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</si>
  <si>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</si>
  <si>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</si>
  <si>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</si>
  <si>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</si>
  <si>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</si>
  <si>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</si>
  <si>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</si>
  <si>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</si>
  <si>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</si>
  <si>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</si>
  <si>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</si>
  <si>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</si>
  <si>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</si>
  <si>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</si>
  <si>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</si>
  <si>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</si>
  <si>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</si>
  <si>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</si>
  <si>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</si>
  <si>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</si>
  <si>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</si>
  <si>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</si>
  <si>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</si>
  <si>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</si>
  <si>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</si>
  <si>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</si>
  <si>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</si>
  <si>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</si>
  <si>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</si>
  <si>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</si>
  <si>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</si>
  <si>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</si>
  <si>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</si>
  <si>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</si>
  <si>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</si>
  <si>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</si>
  <si>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</si>
  <si>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</si>
  <si>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</si>
  <si>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</si>
  <si>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</si>
  <si>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</si>
  <si>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</si>
  <si>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</si>
  <si>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</si>
  <si>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</si>
  <si>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</si>
  <si>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</si>
  <si>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</si>
  <si>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</si>
  <si>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</si>
  <si>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</si>
  <si>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</si>
  <si>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</si>
  <si>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</si>
  <si>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</si>
  <si>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</si>
  <si>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</si>
  <si>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</si>
  <si>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</si>
  <si>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</si>
  <si>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</si>
  <si>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</si>
  <si>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</si>
  <si>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</si>
  <si>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</si>
  <si>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</si>
  <si>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</si>
  <si>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</si>
  <si>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</si>
  <si>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</si>
  <si>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</si>
  <si>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</si>
  <si>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</si>
  <si>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</si>
  <si>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</si>
  <si>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</si>
  <si>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</si>
  <si>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</si>
  <si>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</si>
  <si>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</si>
  <si>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</si>
  <si>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</si>
  <si>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</si>
  <si>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</si>
  <si>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</si>
  <si>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</si>
  <si>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</si>
  <si>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</si>
  <si>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</si>
  <si>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</si>
  <si>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</si>
  <si>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</si>
  <si>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</si>
  <si>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</si>
  <si>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</si>
  <si>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</si>
  <si>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</si>
  <si>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</si>
  <si>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</si>
  <si>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</si>
  <si>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</si>
  <si>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</si>
  <si>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</si>
  <si>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</si>
  <si>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</si>
  <si>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</si>
  <si>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</si>
  <si>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</si>
  <si>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</si>
  <si>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</si>
  <si>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</si>
  <si>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</si>
  <si>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</si>
  <si>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</si>
  <si>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</si>
  <si>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</si>
  <si>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</si>
  <si>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</si>
  <si>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</si>
  <si>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</si>
  <si>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</si>
  <si>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</si>
  <si>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</si>
  <si>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</si>
  <si>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</si>
  <si>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</si>
  <si>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</si>
  <si>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</si>
  <si>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</si>
  <si>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</si>
  <si>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</si>
  <si>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</si>
  <si>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</si>
  <si>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</si>
  <si>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</si>
  <si>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</si>
  <si>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</si>
  <si>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</si>
  <si>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</si>
  <si>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</si>
  <si>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</si>
  <si>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</si>
  <si>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</si>
  <si>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</si>
  <si>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</si>
  <si>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</si>
  <si>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</si>
  <si>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</si>
  <si>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</si>
  <si>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</si>
  <si>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</si>
  <si>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</si>
  <si>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</si>
  <si>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</si>
  <si>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</si>
  <si>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</si>
  <si>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</si>
  <si>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</si>
  <si>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</si>
  <si>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</si>
  <si>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</si>
  <si>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</si>
  <si>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</si>
  <si>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</si>
  <si>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</si>
  <si>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</si>
  <si>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</si>
  <si>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</si>
  <si>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</si>
  <si>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</si>
  <si>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</si>
  <si>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</si>
  <si>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</si>
  <si>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</si>
  <si>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</si>
  <si>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</si>
  <si>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</si>
  <si>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</si>
  <si>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</si>
  <si>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</si>
  <si>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</si>
  <si>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</si>
  <si>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</si>
  <si>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</si>
  <si>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</si>
  <si>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</si>
  <si>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</si>
  <si>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</si>
  <si>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</si>
  <si>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</si>
  <si>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</si>
  <si>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</si>
  <si>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</si>
  <si>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</si>
  <si>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</si>
  <si>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</si>
  <si>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</si>
  <si>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</si>
  <si>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</si>
  <si>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</si>
  <si>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</si>
  <si>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</si>
  <si>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</si>
  <si>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</si>
  <si>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</si>
  <si>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</si>
  <si>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</si>
  <si>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</si>
  <si>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</si>
  <si>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</si>
  <si>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</si>
  <si>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</si>
  <si>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</si>
  <si>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</si>
  <si>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</si>
  <si>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</si>
  <si>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</si>
  <si>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</si>
  <si>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</si>
  <si>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</si>
  <si>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</si>
  <si>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</si>
  <si>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</si>
  <si>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</si>
  <si>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</si>
  <si>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</si>
  <si>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</si>
  <si>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</si>
  <si>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</si>
  <si>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</si>
  <si>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</si>
  <si>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</si>
  <si>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</si>
  <si>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</si>
  <si>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</si>
  <si>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</si>
  <si>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</si>
  <si>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</si>
  <si>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</si>
  <si>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</si>
  <si>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</si>
  <si>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</si>
  <si>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</si>
  <si>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</si>
  <si>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</si>
  <si>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</si>
  <si>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</si>
  <si>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</si>
  <si>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</si>
  <si>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</si>
  <si>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</si>
  <si>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</si>
  <si>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</si>
  <si>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</si>
  <si>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</si>
  <si>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</si>
  <si>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</si>
  <si>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</si>
  <si>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</si>
  <si>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</si>
  <si>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</si>
  <si>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</si>
  <si>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</si>
  <si>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</si>
  <si>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</si>
  <si>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</si>
  <si>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</si>
  <si>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</si>
  <si>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</si>
  <si>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</si>
  <si>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</si>
  <si>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</si>
  <si>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</si>
  <si>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</si>
  <si>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</si>
  <si>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</si>
  <si>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</si>
  <si>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</si>
  <si>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</si>
  <si>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</si>
  <si>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</si>
  <si>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</si>
  <si>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</si>
  <si>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</si>
  <si>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</si>
  <si>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</si>
  <si>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</si>
  <si>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</si>
  <si>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</si>
  <si>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</si>
  <si>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</si>
  <si>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</si>
  <si>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</si>
  <si>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</si>
  <si>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</si>
  <si>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</si>
  <si>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</si>
  <si>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</si>
  <si>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</si>
  <si>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</si>
  <si>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</si>
  <si>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</si>
  <si>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</si>
  <si>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</si>
  <si>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</si>
  <si>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</si>
  <si>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</si>
  <si>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</si>
  <si>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</si>
  <si>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</si>
  <si>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</si>
  <si>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</si>
  <si>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</si>
  <si>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</si>
  <si>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</si>
  <si>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</si>
  <si>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</si>
  <si>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</si>
  <si>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</si>
  <si>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</si>
  <si>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</si>
  <si>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</si>
  <si>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</si>
  <si>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</si>
  <si>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</si>
  <si>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</si>
  <si>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</si>
  <si>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</si>
  <si>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</si>
  <si>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</si>
  <si>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</si>
  <si>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</si>
  <si>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</si>
  <si>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</si>
  <si>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</si>
  <si>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</si>
  <si>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</si>
  <si>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</si>
  <si>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</si>
  <si>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</si>
  <si>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</si>
  <si>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</si>
  <si>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</si>
  <si>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</si>
  <si>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</si>
  <si>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</si>
  <si>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</si>
  <si>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</si>
  <si>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</si>
  <si>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</si>
  <si>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</si>
  <si>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</si>
  <si>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</si>
  <si>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</si>
  <si>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</si>
  <si>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</si>
  <si>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</si>
  <si>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</si>
  <si>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</si>
  <si>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</si>
  <si>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</si>
  <si>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</si>
  <si>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</si>
  <si>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</si>
  <si>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</si>
  <si>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</si>
  <si>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</si>
  <si>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</si>
  <si>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</si>
  <si>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</si>
  <si>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</si>
  <si>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</si>
  <si>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</si>
  <si>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</si>
  <si>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</si>
  <si>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</si>
  <si>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</si>
  <si>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</si>
  <si>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</si>
  <si>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</si>
  <si>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</si>
  <si>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</si>
  <si>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</si>
  <si>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</si>
  <si>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</si>
  <si>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</si>
  <si>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</si>
  <si>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</si>
  <si>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</si>
  <si>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</si>
  <si>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</si>
  <si>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</si>
  <si>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</si>
  <si>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</si>
  <si>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</si>
  <si>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</si>
  <si>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</si>
  <si>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</si>
  <si>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</si>
  <si>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</si>
  <si>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</si>
  <si>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</si>
  <si>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</si>
  <si>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</si>
  <si>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</si>
  <si>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</si>
  <si>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</si>
  <si>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</si>
  <si>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</si>
  <si>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</si>
  <si>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</si>
  <si>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</si>
  <si>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</si>
  <si>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</si>
  <si>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</si>
  <si>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</si>
  <si>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</si>
  <si>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</si>
  <si>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</si>
  <si>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</si>
  <si>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</si>
  <si>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</si>
  <si>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</si>
  <si>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</si>
  <si>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</si>
  <si>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</si>
  <si>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</si>
  <si>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</si>
  <si>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</si>
  <si>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</si>
  <si>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</si>
  <si>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</si>
  <si>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</si>
  <si>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</si>
  <si>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</si>
  <si>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</si>
  <si>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</si>
  <si>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</si>
  <si>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</si>
  <si>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</si>
  <si>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</si>
  <si>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</si>
  <si>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</si>
  <si>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</si>
  <si>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</si>
  <si>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</si>
  <si>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</si>
  <si>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</si>
  <si>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</si>
  <si>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</si>
  <si>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</si>
  <si>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</si>
  <si>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</si>
  <si>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</si>
  <si>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</si>
  <si>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</si>
  <si>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</si>
  <si>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</si>
  <si>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</si>
  <si>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</si>
  <si>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</si>
  <si>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</si>
  <si>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</si>
  <si>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</si>
  <si>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</si>
  <si>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</si>
  <si>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</si>
  <si>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</si>
  <si>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</si>
  <si>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</si>
  <si>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</si>
  <si>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</si>
  <si>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</si>
  <si>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</si>
  <si>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</si>
  <si>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</si>
  <si>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</si>
  <si>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</si>
  <si>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</si>
  <si>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</si>
  <si>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</si>
  <si>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</si>
  <si>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</si>
  <si>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</si>
  <si>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</si>
  <si>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</si>
  <si>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</si>
  <si>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</si>
  <si>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</si>
  <si>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</si>
  <si>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</si>
  <si>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</si>
  <si>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</si>
  <si>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</si>
  <si>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</si>
  <si>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</si>
  <si>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</si>
  <si>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</si>
  <si>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</si>
  <si>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</si>
  <si>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</si>
  <si>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</si>
  <si>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</si>
  <si>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</si>
  <si>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</si>
  <si>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</si>
  <si>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</si>
  <si>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</si>
  <si>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</si>
  <si>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</si>
  <si>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</si>
  <si>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</si>
  <si>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</si>
  <si>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</si>
  <si>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</si>
  <si>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</si>
  <si>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</si>
  <si>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</si>
  <si>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</si>
  <si>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</si>
  <si>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</si>
  <si>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</si>
  <si>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</si>
  <si>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</si>
  <si>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</si>
  <si>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</si>
  <si>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</si>
  <si>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</si>
  <si>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</si>
  <si>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</si>
  <si>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</si>
  <si>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</si>
  <si>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</si>
  <si>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</si>
  <si>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</si>
  <si>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</si>
  <si>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</si>
  <si>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</si>
  <si>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</si>
  <si>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</si>
  <si>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</si>
  <si>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</si>
  <si>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</si>
  <si>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</si>
  <si>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</si>
  <si>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</si>
  <si>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</si>
  <si>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</si>
  <si>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</si>
  <si>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</si>
  <si>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</si>
  <si>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</si>
  <si>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</si>
  <si>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</si>
  <si>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</si>
  <si>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</si>
  <si>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</si>
  <si>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</si>
  <si>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</si>
  <si>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</si>
  <si>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</si>
  <si>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</si>
  <si>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</si>
  <si>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</si>
  <si>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</si>
  <si>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</si>
  <si>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</si>
  <si>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</si>
  <si>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</si>
  <si>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</si>
  <si>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</si>
  <si>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</si>
  <si>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</si>
  <si>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</si>
  <si>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</si>
  <si>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</si>
  <si>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</si>
  <si>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</si>
  <si>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</si>
  <si>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</si>
  <si>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</si>
  <si>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</si>
  <si>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</si>
  <si>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</si>
  <si>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</si>
  <si>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</si>
  <si>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</si>
  <si>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</si>
  <si>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</si>
  <si>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</si>
  <si>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</si>
  <si>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</si>
  <si>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</si>
  <si>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</si>
  <si>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</si>
  <si>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</si>
  <si>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</si>
  <si>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</si>
  <si>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</si>
  <si>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</si>
  <si>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</si>
  <si>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</si>
  <si>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</si>
  <si>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</si>
  <si>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</si>
  <si>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</si>
  <si>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</si>
  <si>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</si>
  <si>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</si>
  <si>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</si>
  <si>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</si>
  <si>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</si>
  <si>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</si>
  <si>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</si>
  <si>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</si>
  <si>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</si>
  <si>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</si>
  <si>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</si>
  <si>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</si>
  <si>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</si>
  <si>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</si>
  <si>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</si>
  <si>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</si>
  <si>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</si>
  <si>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</si>
  <si>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</si>
  <si>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</si>
  <si>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</si>
  <si>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</si>
  <si>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</si>
  <si>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</si>
  <si>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</si>
  <si>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</si>
  <si>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</si>
  <si>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</si>
  <si>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</si>
  <si>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</si>
  <si>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</si>
  <si>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</si>
  <si>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</si>
  <si>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</si>
  <si>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</si>
  <si>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</si>
  <si>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</si>
  <si>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</si>
  <si>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</si>
  <si>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</si>
  <si>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</si>
  <si>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</si>
  <si>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</si>
  <si>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</si>
  <si>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</si>
  <si>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</si>
  <si>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</si>
  <si>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</si>
  <si>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</si>
  <si>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</si>
  <si>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</si>
  <si>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</si>
  <si>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</si>
  <si>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</si>
  <si>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</si>
  <si>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</si>
  <si>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</si>
  <si>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</si>
  <si>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</si>
  <si>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</si>
  <si>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</si>
  <si>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</si>
  <si>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</si>
  <si>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</si>
  <si>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</si>
  <si>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</si>
  <si>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</si>
  <si>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</si>
  <si>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</si>
  <si>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</si>
  <si>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</si>
  <si>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</si>
  <si>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</si>
  <si>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</si>
  <si>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</si>
  <si>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</si>
  <si>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</si>
  <si>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</si>
  <si>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</si>
  <si>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</si>
  <si>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</si>
  <si>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</si>
  <si>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</si>
  <si>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</si>
  <si>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</si>
  <si>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</si>
  <si>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</si>
  <si>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</si>
  <si>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</si>
  <si>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</si>
  <si>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</si>
  <si>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</si>
  <si>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</si>
  <si>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</si>
  <si>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</si>
  <si>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</si>
  <si>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</si>
  <si>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</si>
  <si>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</si>
  <si>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</si>
  <si>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</si>
  <si>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</si>
  <si>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</si>
  <si>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</si>
  <si>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</si>
  <si>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</si>
  <si>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</si>
  <si>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</si>
  <si>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</si>
  <si>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</si>
  <si>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</si>
  <si>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</si>
  <si>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</si>
  <si>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</si>
  <si>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</si>
  <si>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</si>
  <si>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</si>
  <si>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</si>
  <si>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</si>
  <si>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</si>
  <si>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</si>
  <si>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</si>
  <si>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</si>
  <si>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</si>
  <si>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</si>
  <si>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</si>
  <si>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</si>
  <si>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</si>
  <si>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</si>
  <si>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</si>
  <si>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</si>
  <si>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</si>
  <si>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</si>
  <si>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</si>
  <si>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</si>
  <si>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</si>
  <si>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</si>
  <si>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</si>
  <si>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</si>
  <si>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</si>
  <si>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</si>
  <si>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</si>
  <si>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</si>
  <si>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</si>
  <si>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</si>
  <si>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</si>
  <si>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</si>
  <si>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</si>
  <si>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</si>
  <si>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</si>
  <si>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</si>
  <si>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</si>
  <si>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</si>
  <si>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</si>
  <si>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</si>
  <si>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</si>
  <si>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</si>
  <si>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</si>
  <si>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</si>
  <si>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</si>
  <si>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</si>
  <si>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</si>
  <si>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</si>
  <si>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</si>
  <si>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</si>
  <si>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</si>
  <si>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</si>
  <si>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</si>
  <si>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</si>
  <si>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</si>
  <si>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</si>
  <si>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</si>
  <si>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</si>
  <si>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</si>
  <si>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</si>
  <si>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</si>
  <si>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</si>
  <si>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</si>
  <si>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</si>
  <si>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</si>
  <si>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</si>
  <si>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</si>
  <si>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</si>
  <si>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</si>
  <si>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</si>
  <si>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</si>
  <si>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</si>
  <si>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</si>
  <si>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</si>
  <si>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</si>
  <si>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</si>
  <si>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</si>
  <si>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</si>
  <si>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</si>
  <si>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</si>
  <si>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</si>
  <si>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</si>
  <si>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</si>
  <si>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</si>
  <si>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</si>
  <si>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</si>
  <si>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</si>
  <si>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</si>
  <si>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</si>
  <si>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</si>
  <si>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</si>
  <si>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</si>
  <si>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</si>
  <si>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</si>
  <si>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</si>
  <si>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</si>
  <si>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</si>
  <si>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</si>
  <si>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</si>
  <si>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</si>
  <si>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</si>
  <si>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</si>
  <si>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</si>
  <si>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</si>
  <si>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</si>
  <si>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</si>
  <si>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</si>
  <si>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</si>
  <si>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</si>
  <si>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</si>
  <si>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</si>
  <si>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</si>
  <si>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</si>
  <si>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</si>
  <si>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</si>
  <si>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</si>
  <si>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</si>
  <si>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</si>
  <si>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</si>
  <si>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</si>
  <si>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</si>
  <si>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</si>
  <si>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</si>
  <si>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</si>
  <si>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</si>
  <si>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</si>
  <si>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</si>
  <si>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</si>
  <si>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</si>
  <si>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</si>
  <si>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</si>
  <si>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</si>
  <si>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</si>
  <si>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</si>
  <si>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</si>
  <si>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</si>
  <si>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</si>
  <si>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</si>
  <si>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</si>
  <si>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</si>
  <si>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</si>
  <si>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</si>
  <si>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</si>
  <si>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</si>
  <si>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</si>
  <si>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</si>
  <si>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</si>
  <si>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</si>
  <si>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</si>
  <si>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</si>
  <si>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</si>
  <si>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</si>
  <si>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</si>
  <si>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</si>
  <si>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</si>
  <si>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</si>
  <si>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</si>
  <si>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</si>
  <si>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</si>
  <si>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</si>
  <si>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</si>
  <si>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</si>
  <si>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</si>
  <si>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</si>
  <si>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</si>
  <si>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</si>
  <si>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</si>
  <si>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</si>
  <si>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</si>
  <si>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</si>
  <si>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</si>
  <si>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</si>
  <si>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</si>
  <si>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</si>
  <si>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</si>
  <si>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</si>
  <si>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</si>
  <si>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</si>
  <si>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</si>
  <si>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</si>
  <si>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</si>
  <si>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</si>
  <si>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</si>
  <si>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</si>
  <si>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</si>
  <si>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</si>
  <si>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</si>
  <si>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</si>
  <si>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</si>
  <si>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</si>
  <si>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</si>
  <si>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</si>
  <si>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</si>
  <si>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</si>
  <si>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</si>
  <si>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</si>
  <si>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</si>
  <si>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</si>
  <si>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</si>
  <si>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</si>
  <si>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</si>
  <si>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</si>
  <si>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</si>
  <si>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</si>
  <si>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</si>
  <si>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</si>
  <si>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</si>
  <si>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</si>
  <si>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</si>
  <si>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</si>
  <si>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</si>
  <si>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</si>
  <si>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</si>
  <si>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</si>
  <si>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</si>
  <si>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</si>
  <si>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</si>
  <si>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</si>
  <si>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</si>
  <si>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</si>
  <si>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</si>
  <si>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</si>
  <si>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</si>
  <si>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</si>
  <si>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</si>
  <si>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</si>
  <si>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</si>
  <si>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</si>
  <si>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</si>
  <si>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</si>
  <si>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</si>
  <si>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</si>
  <si>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</si>
  <si>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</si>
  <si>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</si>
  <si>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</si>
  <si>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</si>
  <si>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</si>
  <si>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</si>
  <si>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</si>
  <si>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</si>
  <si>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</si>
  <si>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</si>
  <si>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</si>
  <si>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</si>
  <si>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</si>
  <si>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</si>
  <si>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</si>
  <si>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</si>
  <si>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</si>
  <si>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</si>
  <si>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</si>
  <si>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</si>
  <si>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</si>
  <si>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</si>
  <si>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</si>
  <si>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</si>
  <si>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</si>
  <si>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</si>
  <si>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</si>
  <si>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</si>
  <si>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</si>
  <si>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</si>
  <si>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</si>
  <si>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</si>
  <si>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</si>
  <si>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</si>
  <si>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</si>
  <si>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</si>
  <si>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</si>
  <si>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</si>
  <si>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</si>
  <si>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</si>
  <si>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</si>
  <si>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</si>
  <si>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</si>
  <si>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</si>
  <si>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</si>
  <si>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</si>
  <si>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</si>
  <si>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</si>
  <si>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</si>
  <si>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</si>
  <si>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</si>
  <si>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</si>
  <si>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</si>
  <si>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</si>
  <si>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</si>
  <si>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</si>
  <si>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</si>
  <si>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</si>
  <si>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</si>
  <si>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</si>
  <si>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</si>
  <si>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</si>
  <si>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</si>
  <si>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</si>
  <si>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</si>
  <si>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</si>
  <si>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</si>
  <si>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</si>
  <si>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</si>
  <si>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</si>
  <si>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</si>
  <si>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</si>
  <si>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</si>
  <si>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</si>
  <si>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</si>
  <si>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</si>
  <si>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</si>
  <si>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</si>
  <si>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</si>
  <si>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</si>
  <si>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</si>
  <si>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</si>
  <si>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</si>
  <si>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</si>
  <si>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</si>
  <si>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</si>
  <si>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</si>
  <si>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</si>
  <si>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</si>
  <si>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</si>
  <si>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</si>
  <si>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</si>
  <si>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</si>
  <si>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</si>
  <si>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</si>
  <si>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</si>
  <si>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</si>
  <si>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</si>
  <si>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</si>
  <si>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</si>
  <si>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</si>
  <si>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</si>
  <si>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</si>
  <si>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</si>
  <si>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</si>
  <si>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</si>
  <si>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</si>
  <si>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</si>
  <si>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</si>
  <si>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</si>
  <si>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</si>
  <si>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</si>
  <si>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</si>
  <si>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</si>
  <si>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</si>
  <si>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</si>
  <si>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</si>
  <si>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</si>
  <si>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</si>
  <si>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</si>
  <si>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</si>
  <si>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</si>
  <si>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</si>
  <si>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</si>
  <si>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</si>
  <si>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</si>
  <si>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</si>
  <si>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</si>
  <si>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</si>
  <si>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</si>
  <si>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</si>
  <si>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</si>
  <si>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</si>
  <si>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</si>
  <si>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</si>
  <si>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</si>
  <si>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</si>
  <si>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</si>
  <si>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</si>
  <si>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</si>
  <si>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</si>
  <si>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</si>
  <si>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</si>
  <si>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</si>
  <si>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</si>
  <si>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</si>
  <si>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</si>
  <si>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</si>
  <si>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</si>
  <si>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</si>
  <si>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</si>
  <si>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</si>
  <si>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</si>
  <si>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</si>
  <si>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</si>
  <si>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</si>
  <si>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</si>
  <si>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</si>
  <si>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</si>
  <si>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</si>
  <si>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</si>
  <si>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</si>
  <si>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</si>
  <si>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</si>
  <si>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</si>
  <si>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</si>
  <si>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</si>
  <si>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</si>
  <si>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</si>
  <si>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</si>
  <si>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</si>
  <si>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</si>
  <si>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</si>
  <si>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</si>
  <si>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</si>
  <si>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</si>
  <si>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</si>
  <si>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</si>
  <si>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</si>
  <si>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</si>
  <si>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</si>
  <si>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</si>
  <si>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</si>
  <si>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</si>
  <si>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</si>
  <si>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</si>
  <si>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</si>
  <si>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</si>
  <si>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</si>
  <si>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</si>
  <si>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</si>
  <si>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</si>
  <si>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</si>
  <si>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</si>
  <si>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</si>
  <si>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</si>
  <si>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</si>
  <si>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</si>
  <si>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</si>
  <si>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</si>
  <si>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</si>
  <si>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</si>
  <si>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</si>
  <si>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</si>
  <si>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</si>
  <si>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</si>
  <si>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</si>
  <si>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</si>
  <si>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</si>
  <si>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</si>
  <si>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</si>
  <si>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</si>
  <si>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</si>
  <si>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</si>
  <si>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</si>
  <si>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</si>
  <si>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</si>
  <si>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</si>
  <si>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</si>
  <si>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</si>
  <si>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</si>
  <si>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</si>
  <si>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</si>
  <si>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</si>
  <si>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</si>
  <si>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</si>
  <si>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</si>
  <si>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</si>
  <si>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</si>
  <si>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</si>
  <si>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</si>
  <si>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</si>
  <si>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</si>
  <si>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</si>
  <si>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</si>
  <si>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</si>
  <si>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</si>
  <si>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</si>
  <si>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</si>
  <si>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</si>
  <si>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</si>
  <si>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</si>
  <si>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</si>
  <si>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</si>
  <si>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</si>
  <si>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</si>
  <si>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</si>
  <si>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</si>
  <si>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</si>
  <si>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</si>
  <si>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</si>
  <si>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</si>
  <si>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</si>
  <si>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</si>
  <si>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</si>
  <si>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</si>
  <si>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</si>
  <si>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</si>
  <si>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</si>
  <si>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</si>
  <si>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</si>
  <si>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</si>
  <si>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</si>
  <si>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</si>
  <si>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</si>
  <si>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</si>
  <si>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</si>
  <si>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</si>
  <si>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</si>
  <si>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</si>
  <si>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</si>
  <si>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</si>
  <si>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</si>
  <si>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</si>
  <si>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</si>
  <si>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</si>
  <si>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</si>
  <si>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</si>
  <si>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</si>
  <si>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</si>
  <si>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</si>
  <si>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</si>
  <si>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</si>
  <si>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</si>
  <si>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</si>
  <si>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</si>
  <si>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</si>
  <si>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</si>
  <si>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</si>
  <si>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</si>
  <si>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</si>
  <si>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</si>
  <si>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</si>
  <si>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</si>
  <si>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</si>
  <si>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</si>
  <si>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</si>
  <si>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</si>
  <si>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</si>
  <si>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</si>
  <si>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</si>
  <si>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</si>
  <si>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</si>
  <si>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</si>
  <si>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</si>
  <si>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</si>
  <si>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</si>
  <si>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</si>
  <si>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</si>
  <si>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</si>
  <si>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</si>
  <si>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</si>
  <si>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</si>
  <si>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</si>
  <si>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</si>
  <si>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</si>
  <si>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</si>
  <si>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</si>
  <si>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</si>
  <si>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</si>
  <si>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</si>
  <si>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</si>
  <si>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</si>
  <si>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</si>
  <si>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</si>
  <si>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</si>
  <si>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</si>
  <si>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</si>
  <si>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</si>
  <si>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</si>
  <si>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</si>
  <si>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</si>
  <si>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</si>
  <si>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</si>
  <si>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</si>
  <si>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</si>
  <si>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</si>
  <si>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</si>
  <si>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</si>
  <si>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</si>
  <si>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</si>
  <si>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</si>
  <si>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</si>
  <si>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</si>
  <si>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</si>
  <si>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</si>
  <si>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</si>
  <si>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</si>
  <si>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</si>
  <si>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</si>
  <si>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</si>
  <si>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</si>
  <si>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</si>
  <si>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</si>
  <si>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</si>
  <si>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</si>
  <si>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</si>
  <si>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</si>
  <si>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</si>
  <si>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</si>
  <si>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</si>
  <si>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</si>
  <si>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</si>
  <si>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</si>
  <si>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</si>
  <si>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</si>
  <si>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</si>
  <si>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</si>
  <si>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</si>
  <si>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</si>
  <si>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</si>
  <si>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</si>
  <si>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</si>
  <si>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</si>
  <si>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</si>
  <si>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</si>
  <si>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</si>
  <si>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</si>
  <si>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</si>
  <si>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</si>
  <si>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</si>
  <si>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</si>
  <si>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</si>
  <si>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</si>
  <si>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</si>
  <si>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</si>
  <si>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</si>
  <si>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</si>
  <si>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</si>
  <si>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</si>
  <si>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</si>
  <si>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</si>
  <si>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</si>
  <si>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</si>
  <si>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</si>
  <si>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</si>
  <si>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</si>
  <si>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</si>
  <si>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</si>
  <si>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</si>
  <si>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</si>
  <si>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</si>
  <si>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</si>
  <si>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</si>
  <si>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</si>
  <si>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</si>
  <si>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</si>
  <si>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</si>
  <si>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</si>
  <si>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</si>
  <si>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</si>
  <si>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</si>
  <si>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</si>
  <si>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</si>
  <si>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</si>
  <si>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</si>
  <si>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</si>
  <si>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</si>
  <si>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</si>
  <si>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</si>
  <si>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</si>
  <si>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</si>
  <si>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</si>
  <si>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</si>
  <si>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</si>
  <si>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</si>
  <si>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</si>
  <si>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</si>
  <si>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</si>
  <si>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</si>
  <si>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</si>
  <si>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</si>
  <si>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</si>
  <si>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</si>
  <si>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</si>
  <si>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</si>
  <si>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</si>
  <si>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</si>
  <si>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</si>
  <si>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</si>
  <si>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</si>
  <si>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</si>
  <si>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</si>
  <si>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</si>
  <si>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</si>
  <si>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</si>
  <si>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</si>
  <si>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</si>
  <si>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</si>
  <si>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</si>
  <si>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</si>
  <si>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</si>
  <si>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</si>
  <si>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</si>
  <si>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</si>
  <si>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</si>
  <si>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</si>
  <si>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</si>
  <si>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</si>
  <si>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</si>
  <si>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</si>
  <si>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</si>
  <si>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</si>
  <si>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</si>
  <si>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</si>
  <si>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</si>
  <si>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</si>
  <si>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</si>
  <si>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</si>
  <si>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</si>
  <si>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</si>
  <si>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</si>
  <si>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</si>
  <si>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</si>
  <si>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</si>
  <si>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</si>
  <si>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</si>
  <si>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</si>
  <si>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</si>
  <si>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</si>
  <si>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</si>
  <si>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</si>
  <si>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</si>
  <si>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</si>
  <si>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</si>
  <si>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</si>
  <si>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</si>
  <si>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</si>
  <si>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</si>
  <si>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</si>
  <si>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</si>
  <si>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</si>
  <si>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</si>
  <si>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</si>
  <si>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</si>
  <si>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</si>
  <si>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</si>
  <si>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</si>
  <si>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</si>
  <si>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</si>
  <si>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</si>
  <si>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</si>
  <si>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</si>
  <si>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</si>
  <si>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</si>
  <si>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</si>
  <si>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</si>
  <si>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</si>
  <si>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</si>
  <si>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</si>
  <si>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</si>
  <si>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</si>
  <si>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</si>
  <si>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</si>
  <si>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</si>
  <si>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</si>
  <si>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</si>
  <si>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</si>
  <si>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</si>
  <si>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</si>
  <si>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</si>
  <si>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</si>
  <si>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</si>
  <si>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</si>
  <si>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</si>
  <si>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</si>
  <si>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</si>
  <si>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</si>
  <si>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</si>
  <si>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</si>
  <si>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</si>
  <si>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</si>
  <si>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</si>
  <si>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</si>
  <si>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</si>
  <si>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</si>
  <si>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</si>
  <si>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</si>
  <si>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</si>
  <si>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</si>
  <si>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</si>
  <si>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</si>
  <si>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</si>
  <si>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</si>
  <si>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</si>
  <si>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</si>
  <si>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</si>
  <si>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</si>
  <si>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</si>
  <si>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</si>
  <si>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</si>
  <si>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</si>
  <si>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</si>
  <si>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</si>
  <si>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</si>
  <si>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</si>
  <si>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</si>
  <si>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</si>
  <si>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</si>
  <si>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</si>
  <si>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</si>
  <si>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</si>
  <si>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</si>
  <si>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</si>
  <si>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</si>
  <si>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</si>
  <si>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</si>
  <si>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</si>
  <si>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</si>
  <si>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</si>
  <si>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</si>
  <si>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</si>
  <si>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</si>
  <si>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</si>
  <si>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</si>
  <si>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</si>
  <si>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</si>
  <si>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</si>
  <si>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</si>
  <si>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</si>
  <si>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</si>
  <si>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</si>
  <si>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</si>
  <si>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</si>
  <si>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</si>
  <si>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</si>
  <si>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</si>
  <si>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</si>
  <si>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</si>
  <si>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</si>
  <si>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</si>
  <si>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</si>
  <si>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</si>
  <si>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</si>
  <si>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</si>
  <si>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</si>
  <si>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</si>
  <si>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</si>
  <si>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</si>
  <si>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</si>
  <si>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</si>
  <si>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</si>
  <si>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</si>
  <si>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</si>
  <si>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</si>
  <si>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</si>
  <si>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</si>
  <si>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</si>
  <si>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</si>
  <si>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</si>
  <si>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</si>
  <si>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</si>
  <si>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</si>
  <si>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</si>
  <si>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</si>
  <si>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</si>
  <si>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</si>
  <si>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</si>
  <si>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</si>
  <si>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</si>
  <si>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</si>
  <si>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</si>
  <si>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</si>
  <si>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</si>
  <si>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</si>
  <si>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</si>
  <si>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</si>
  <si>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</si>
  <si>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</si>
  <si>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</si>
  <si>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</si>
  <si>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</si>
  <si>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</si>
  <si>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</si>
  <si>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</si>
  <si>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</si>
  <si>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</si>
  <si>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</si>
  <si>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</si>
  <si>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</si>
  <si>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</si>
  <si>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</si>
  <si>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</si>
  <si>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</si>
  <si>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</si>
  <si>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</si>
  <si>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</si>
  <si>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</si>
  <si>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</si>
  <si>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</si>
  <si>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</si>
  <si>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</si>
  <si>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</si>
  <si>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</si>
  <si>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</si>
  <si>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</si>
  <si>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</si>
  <si>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</si>
  <si>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</si>
  <si>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</si>
  <si>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</si>
  <si>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</si>
  <si>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</si>
  <si>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</si>
  <si>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</si>
  <si>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</si>
  <si>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</si>
  <si>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</si>
  <si>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</si>
  <si>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</si>
  <si>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</si>
  <si>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</si>
  <si>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</si>
  <si>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</si>
  <si>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</si>
  <si>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</si>
  <si>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</si>
  <si>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</si>
  <si>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</si>
  <si>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</si>
  <si>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</si>
  <si>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</si>
  <si>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</si>
  <si>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</si>
  <si>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</si>
  <si>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</si>
  <si>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</si>
  <si>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</si>
  <si>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</si>
  <si>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</si>
  <si>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</si>
  <si>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</si>
  <si>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</si>
  <si>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</si>
  <si>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</si>
  <si>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</si>
  <si>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</si>
  <si>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</si>
  <si>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</si>
  <si>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</si>
  <si>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</si>
  <si>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</si>
  <si>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</si>
  <si>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</si>
  <si>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</si>
  <si>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</si>
  <si>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</si>
  <si>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</si>
  <si>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</si>
  <si>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</si>
  <si>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</si>
  <si>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</si>
  <si>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</si>
  <si>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</si>
  <si>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</si>
  <si>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</si>
  <si>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</si>
  <si>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</si>
  <si>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</si>
  <si>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</si>
  <si>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</si>
  <si>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</si>
  <si>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</si>
  <si>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</si>
  <si>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</si>
  <si>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</si>
  <si>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</si>
  <si>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</si>
  <si>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</si>
  <si>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</si>
  <si>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</si>
  <si>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</si>
  <si>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</si>
  <si>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</si>
  <si>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</si>
  <si>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</si>
  <si>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</si>
  <si>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</si>
  <si>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</si>
  <si>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</si>
  <si>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</si>
  <si>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</si>
  <si>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</si>
  <si>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</si>
  <si>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</si>
  <si>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</si>
  <si>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</si>
  <si>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</si>
  <si>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</si>
  <si>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</si>
  <si>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</si>
  <si>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</si>
  <si>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</si>
  <si>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</si>
  <si>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</si>
  <si>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</si>
  <si>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</si>
  <si>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</si>
  <si>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</si>
  <si>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</si>
  <si>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</si>
  <si>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</si>
  <si>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</si>
  <si>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</si>
  <si>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</si>
  <si>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</si>
  <si>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</si>
  <si>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</si>
  <si>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</si>
  <si>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</si>
  <si>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</si>
  <si>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</si>
  <si>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</si>
  <si>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</si>
  <si>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</si>
  <si>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</si>
  <si>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</si>
  <si>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</si>
  <si>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</si>
  <si>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</si>
  <si>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</si>
  <si>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</si>
  <si>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</si>
  <si>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</si>
  <si>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</si>
  <si>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</si>
  <si>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</si>
  <si>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</si>
  <si>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</si>
  <si>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</si>
  <si>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</si>
  <si>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</si>
  <si>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</si>
  <si>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</si>
  <si>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</si>
  <si>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</si>
  <si>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</si>
  <si>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</si>
  <si>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</si>
  <si>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</si>
  <si>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</si>
  <si>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</si>
  <si>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</si>
  <si>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</si>
  <si>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</si>
  <si>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</si>
  <si>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</si>
  <si>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</si>
  <si>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</si>
  <si>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</si>
  <si>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</si>
  <si>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</si>
  <si>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</si>
  <si>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</si>
  <si>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</si>
  <si>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</si>
  <si>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</si>
  <si>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</si>
  <si>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</si>
  <si>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</si>
  <si>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</si>
  <si>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</si>
  <si>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</si>
  <si>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</si>
  <si>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</si>
  <si>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</si>
  <si>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</si>
  <si>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</si>
  <si>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</si>
  <si>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</si>
  <si>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</si>
  <si>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</si>
  <si>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</si>
  <si>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</si>
  <si>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</si>
  <si>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</si>
  <si>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</si>
  <si>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</si>
  <si>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</si>
  <si>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</si>
  <si>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</si>
  <si>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</si>
  <si>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</si>
  <si>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</si>
  <si>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</si>
  <si>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</si>
  <si>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</si>
  <si>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</si>
  <si>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</si>
  <si>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</si>
  <si>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</si>
  <si>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</si>
  <si>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</si>
  <si>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</si>
  <si>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</si>
  <si>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</si>
  <si>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</si>
  <si>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</si>
  <si>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</si>
  <si>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</si>
  <si>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</si>
  <si>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</si>
  <si>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</si>
  <si>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</si>
  <si>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</si>
  <si>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</si>
  <si>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</si>
  <si>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</si>
  <si>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</si>
  <si>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</si>
  <si>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</si>
  <si>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</si>
  <si>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</si>
  <si>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</si>
  <si>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</si>
  <si>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</si>
  <si>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</si>
  <si>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</si>
  <si>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</si>
  <si>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</si>
  <si>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</si>
  <si>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</si>
  <si>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</si>
  <si>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</si>
  <si>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</si>
  <si>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</si>
  <si>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</si>
  <si>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</si>
  <si>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</si>
  <si>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</si>
  <si>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</si>
  <si>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</si>
  <si>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</si>
  <si>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</si>
  <si>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</si>
  <si>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</si>
  <si>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</si>
  <si>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</si>
  <si>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</si>
  <si>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</si>
  <si>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</si>
  <si>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</si>
  <si>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</si>
  <si>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</si>
  <si>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</si>
  <si>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</si>
  <si>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</si>
  <si>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</si>
  <si>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</si>
  <si>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</si>
  <si>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</si>
  <si>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</si>
  <si>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</si>
  <si>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</si>
  <si>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</si>
  <si>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</si>
  <si>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</si>
  <si>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</si>
  <si>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</si>
  <si>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</si>
  <si>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</si>
  <si>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</si>
  <si>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</si>
  <si>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</si>
  <si>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</si>
  <si>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</si>
  <si>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</si>
  <si>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</si>
  <si>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</si>
  <si>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</si>
  <si>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</si>
  <si>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</si>
  <si>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</si>
  <si>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</si>
  <si>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</si>
  <si>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</si>
  <si>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</si>
  <si>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</si>
  <si>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</si>
  <si>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</si>
  <si>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</si>
  <si>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</si>
  <si>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</si>
  <si>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</si>
  <si>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</si>
  <si>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</si>
  <si>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</si>
  <si>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</si>
  <si>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</si>
  <si>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</si>
  <si>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</si>
  <si>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</si>
  <si>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</si>
  <si>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</si>
  <si>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</si>
  <si>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</si>
  <si>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</si>
  <si>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</si>
  <si>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</si>
  <si>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</si>
  <si>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</si>
  <si>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</si>
  <si>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</si>
  <si>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</si>
  <si>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</si>
  <si>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</si>
  <si>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</si>
  <si>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</si>
  <si>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</si>
  <si>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</si>
  <si>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</si>
  <si>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</si>
  <si>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</si>
  <si>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</si>
  <si>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</si>
  <si>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</si>
  <si>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</si>
  <si>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</si>
  <si>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</si>
  <si>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</si>
  <si>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</si>
  <si>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</si>
  <si>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</si>
  <si>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</si>
  <si>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</si>
  <si>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</si>
  <si>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</si>
  <si>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</si>
  <si>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</si>
  <si>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</si>
  <si>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</si>
  <si>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</si>
  <si>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</si>
  <si>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</si>
  <si>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</si>
  <si>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</si>
  <si>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</si>
  <si>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</si>
  <si>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</si>
  <si>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</si>
  <si>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</si>
  <si>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</si>
  <si>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</si>
  <si>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</si>
  <si>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</si>
  <si>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</si>
  <si>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</si>
  <si>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</si>
  <si>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</si>
  <si>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</si>
  <si>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</si>
  <si>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</si>
  <si>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</si>
  <si>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</si>
  <si>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</si>
  <si>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</si>
  <si>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</si>
  <si>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</si>
  <si>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</si>
  <si>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</si>
  <si>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</si>
  <si>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</si>
  <si>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</si>
  <si>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</si>
  <si>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</si>
  <si>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</si>
  <si>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</si>
  <si>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</si>
  <si>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</si>
  <si>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</si>
  <si>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</si>
  <si>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</si>
  <si>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</si>
  <si>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</si>
  <si>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</si>
  <si>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</si>
  <si>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</si>
  <si>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</si>
  <si>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</si>
  <si>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</si>
  <si>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</si>
  <si>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</si>
  <si>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</si>
  <si>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</si>
  <si>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</si>
  <si>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</si>
  <si>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</si>
  <si>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</si>
  <si>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</si>
  <si>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</si>
  <si>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</si>
  <si>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</si>
  <si>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</si>
  <si>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</si>
  <si>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</si>
  <si>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</si>
  <si>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</si>
  <si>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</si>
  <si>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</si>
  <si>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</si>
  <si>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</si>
  <si>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</si>
  <si>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</si>
  <si>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</si>
  <si>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</si>
  <si>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</si>
  <si>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</si>
  <si>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</si>
  <si>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</si>
  <si>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</si>
  <si>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</si>
  <si>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</si>
  <si>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</si>
  <si>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</si>
  <si>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</si>
  <si>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</si>
  <si>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</si>
  <si>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</si>
  <si>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Rogers Corporation</t>
  </si>
  <si>
    <t>Michal Werbecki</t>
  </si>
  <si>
    <t>Michal.Werbecki@rogerscorporation.com</t>
  </si>
  <si>
    <t>001-860-779-4765</t>
  </si>
  <si>
    <t>Lary Schmid</t>
  </si>
  <si>
    <t>Vics President, Global Opeartions and Supply Chain</t>
  </si>
  <si>
    <t>Larry.Schmid@rogerscorp.com</t>
  </si>
  <si>
    <t>001-480-917-6000</t>
  </si>
  <si>
    <t>100%</t>
  </si>
  <si>
    <t>http://www.rogerscorp.com/customer-support/index.aspx</t>
  </si>
  <si>
    <t>A. Greinerstraat</t>
  </si>
  <si>
    <t>Shared Operational Function Procurement</t>
  </si>
  <si>
    <t>sustainable.procurement@umicore.com</t>
  </si>
  <si>
    <t>none</t>
  </si>
  <si>
    <t>recycled</t>
  </si>
  <si>
    <t>RMI RMAP Approved refiner: Luna Smelter, Ltd. (CID003387)</t>
  </si>
  <si>
    <t>CID002834</t>
  </si>
  <si>
    <t>CID003379</t>
  </si>
  <si>
    <t>Ma'anshan Weitai Tin Co., Ltd.</t>
  </si>
  <si>
    <t>Maanshan</t>
  </si>
  <si>
    <t>Thai Nguyen Mining and Metallurgy Co., Ltd.</t>
  </si>
  <si>
    <t>Thai Nguyen</t>
  </si>
  <si>
    <t>Advanced Electronics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</si>
</sst>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
      <c r="A13" s="308"/>
      <c r="B13" s="2">
        <v>1</v>
      </c>
      <c r="C13" s="27" t="s">
        <v>1084</v>
      </c>
      <c r="D13" s="28" t="s">
        <v>872</v>
      </c>
      <c r="E13" s="163" t="s">
        <v>849</v>
      </c>
      <c r="F13" s="163"/>
      <c r="G13" s="25"/>
    </row>
    <row r="14" spans="1:7" ht="30">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5"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99999999999999"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5" customHeight="1">
      <c r="A34" s="308"/>
      <c r="B34" s="297"/>
      <c r="C34" s="294"/>
      <c r="D34" s="315"/>
      <c r="E34" s="306"/>
      <c r="F34" s="165" t="s">
        <v>67</v>
      </c>
      <c r="G34" s="25"/>
    </row>
    <row r="35" spans="1:7" ht="29.15" customHeight="1">
      <c r="A35" s="308"/>
      <c r="B35" s="297"/>
      <c r="C35" s="294"/>
      <c r="D35" s="315"/>
      <c r="E35" s="306"/>
      <c r="F35" s="165" t="s">
        <v>68</v>
      </c>
      <c r="G35" s="25"/>
    </row>
    <row r="36" spans="1:7" ht="121">
      <c r="A36" s="308"/>
      <c r="B36" s="298"/>
      <c r="C36" s="295"/>
      <c r="D36" s="316"/>
      <c r="E36" s="307"/>
      <c r="F36" s="166" t="s">
        <v>69</v>
      </c>
      <c r="G36" s="25"/>
    </row>
    <row r="37" spans="1:7" ht="100">
      <c r="A37" s="308"/>
      <c r="B37" s="141">
        <v>3.01</v>
      </c>
      <c r="C37" s="142" t="s">
        <v>70</v>
      </c>
      <c r="D37" s="28" t="s">
        <v>2251</v>
      </c>
      <c r="E37" s="167" t="s">
        <v>1323</v>
      </c>
      <c r="F37" s="168" t="s">
        <v>1427</v>
      </c>
      <c r="G37" s="25"/>
    </row>
    <row r="38" spans="1:7" ht="90">
      <c r="A38" s="308"/>
      <c r="B38" s="141">
        <v>3.02</v>
      </c>
      <c r="C38" s="142" t="s">
        <v>1356</v>
      </c>
      <c r="D38" s="28" t="s">
        <v>2252</v>
      </c>
      <c r="E38" s="167" t="s">
        <v>1371</v>
      </c>
      <c r="F38" s="168" t="s">
        <v>1428</v>
      </c>
      <c r="G38" s="25"/>
    </row>
    <row r="39" spans="1:7" ht="80">
      <c r="A39" s="308"/>
      <c r="B39" s="150">
        <v>4</v>
      </c>
      <c r="C39" s="149" t="s">
        <v>1524</v>
      </c>
      <c r="D39" s="28" t="s">
        <v>2253</v>
      </c>
      <c r="E39" s="27" t="s">
        <v>2198</v>
      </c>
      <c r="F39" s="27" t="s">
        <v>1525</v>
      </c>
      <c r="G39" s="25"/>
    </row>
    <row r="40" spans="1:7" ht="50">
      <c r="A40" s="308"/>
      <c r="B40" s="141">
        <v>4.01</v>
      </c>
      <c r="C40" s="149" t="s">
        <v>1524</v>
      </c>
      <c r="D40" s="28" t="s">
        <v>2255</v>
      </c>
      <c r="E40" s="27" t="s">
        <v>2210</v>
      </c>
      <c r="F40" s="27" t="s">
        <v>2214</v>
      </c>
      <c r="G40" s="25"/>
    </row>
    <row r="41" spans="1:7" ht="50">
      <c r="A41" s="308"/>
      <c r="B41" s="141" t="s">
        <v>2242</v>
      </c>
      <c r="C41" s="149" t="s">
        <v>1524</v>
      </c>
      <c r="D41" s="28" t="s">
        <v>2254</v>
      </c>
      <c r="E41" s="27" t="s">
        <v>2245</v>
      </c>
      <c r="F41" s="27" t="s">
        <v>2243</v>
      </c>
      <c r="G41" s="25"/>
    </row>
    <row r="42" spans="1:7" ht="50">
      <c r="A42" s="308"/>
      <c r="B42" s="141" t="s">
        <v>2276</v>
      </c>
      <c r="C42" s="149" t="s">
        <v>1524</v>
      </c>
      <c r="D42" s="28" t="s">
        <v>2281</v>
      </c>
      <c r="E42" s="27" t="s">
        <v>2244</v>
      </c>
      <c r="F42" s="27" t="s">
        <v>2277</v>
      </c>
      <c r="G42" s="25"/>
    </row>
    <row r="43" spans="1:7" ht="110">
      <c r="A43" s="308"/>
      <c r="B43" s="160">
        <v>4.0999999999999996</v>
      </c>
      <c r="C43" s="149" t="s">
        <v>2280</v>
      </c>
      <c r="D43" s="161">
        <v>42867</v>
      </c>
      <c r="E43" s="169" t="s">
        <v>2283</v>
      </c>
      <c r="F43" s="27" t="s">
        <v>2282</v>
      </c>
      <c r="G43" s="25"/>
    </row>
    <row r="44" spans="1:7" ht="70">
      <c r="A44" s="308"/>
      <c r="B44" s="160">
        <v>4.2</v>
      </c>
      <c r="C44" s="149" t="s">
        <v>2280</v>
      </c>
      <c r="D44" s="161">
        <v>42704</v>
      </c>
      <c r="E44" s="169" t="s">
        <v>2479</v>
      </c>
      <c r="F44" s="27" t="s">
        <v>2454</v>
      </c>
      <c r="G44" s="25"/>
    </row>
    <row r="45" spans="1:7" ht="130">
      <c r="A45" s="308"/>
      <c r="B45" s="202">
        <v>5</v>
      </c>
      <c r="C45" s="149" t="s">
        <v>2280</v>
      </c>
      <c r="D45" s="161">
        <v>42867</v>
      </c>
      <c r="E45" s="169" t="s">
        <v>12705</v>
      </c>
      <c r="F45" s="27" t="s">
        <v>12427</v>
      </c>
      <c r="G45" s="25"/>
    </row>
    <row r="46" spans="1:7" ht="30">
      <c r="A46" s="308"/>
      <c r="B46" s="160">
        <v>5.01</v>
      </c>
      <c r="C46" s="149" t="s">
        <v>2280</v>
      </c>
      <c r="D46" s="161">
        <v>42907</v>
      </c>
      <c r="E46" s="169" t="s">
        <v>15521</v>
      </c>
      <c r="F46" s="27" t="s">
        <v>12427</v>
      </c>
      <c r="G46" s="25"/>
    </row>
    <row r="47" spans="1:7" ht="60">
      <c r="A47" s="308"/>
      <c r="B47" s="160">
        <v>5.0999999999999996</v>
      </c>
      <c r="C47" s="149" t="s">
        <v>2280</v>
      </c>
      <c r="D47" s="161">
        <v>43070</v>
      </c>
      <c r="E47" s="169" t="s">
        <v>12915</v>
      </c>
      <c r="F47" s="27" t="s">
        <v>12916</v>
      </c>
      <c r="G47" s="25"/>
    </row>
    <row r="48" spans="1:7" ht="50">
      <c r="A48" s="308"/>
      <c r="B48" s="160">
        <v>5.1100000000000003</v>
      </c>
      <c r="C48" s="149" t="s">
        <v>13152</v>
      </c>
      <c r="D48" s="161">
        <v>43217</v>
      </c>
      <c r="E48" s="169" t="s">
        <v>13278</v>
      </c>
      <c r="F48" s="27" t="s">
        <v>13186</v>
      </c>
      <c r="G48" s="25"/>
    </row>
    <row r="49" spans="1:7" ht="50">
      <c r="A49" s="308"/>
      <c r="B49" s="160">
        <v>5.12</v>
      </c>
      <c r="C49" s="149" t="s">
        <v>13152</v>
      </c>
      <c r="D49" s="161">
        <v>43581</v>
      </c>
      <c r="E49" s="169" t="s">
        <v>13278</v>
      </c>
      <c r="F49" s="27" t="s">
        <v>13832</v>
      </c>
      <c r="G49" s="25"/>
    </row>
    <row r="50" spans="1:7" ht="70">
      <c r="A50" s="308"/>
      <c r="B50" s="202">
        <v>6</v>
      </c>
      <c r="C50" s="149" t="s">
        <v>13152</v>
      </c>
      <c r="D50" s="161">
        <v>43964</v>
      </c>
      <c r="E50" s="169" t="s">
        <v>14048</v>
      </c>
      <c r="F50" s="27" t="s">
        <v>13835</v>
      </c>
      <c r="G50" s="25"/>
    </row>
    <row r="51" spans="1:7" ht="40">
      <c r="A51" s="308"/>
      <c r="B51" s="160">
        <v>6.01</v>
      </c>
      <c r="C51" s="149" t="s">
        <v>13152</v>
      </c>
      <c r="D51" s="161">
        <v>43970</v>
      </c>
      <c r="E51" s="169" t="s">
        <v>15522</v>
      </c>
      <c r="F51" s="169" t="s">
        <v>13835</v>
      </c>
      <c r="G51" s="25"/>
    </row>
    <row r="52" spans="1:7" ht="40">
      <c r="A52" s="308"/>
      <c r="B52" s="160">
        <v>6.1</v>
      </c>
      <c r="C52" s="149" t="s">
        <v>13152</v>
      </c>
      <c r="D52" s="161">
        <v>44314</v>
      </c>
      <c r="E52" s="169" t="s">
        <v>15514</v>
      </c>
      <c r="F52" s="169" t="s">
        <v>15043</v>
      </c>
      <c r="G52" s="25"/>
    </row>
    <row r="53" spans="1:7" ht="40">
      <c r="A53" s="308"/>
      <c r="B53" s="160">
        <v>6.2</v>
      </c>
      <c r="C53" s="149" t="s">
        <v>13152</v>
      </c>
      <c r="D53" s="161">
        <v>44678</v>
      </c>
      <c r="E53" s="169" t="s">
        <v>15514</v>
      </c>
      <c r="F53" s="169" t="s">
        <v>15513</v>
      </c>
      <c r="G53" s="25"/>
    </row>
    <row r="54" spans="1:7" ht="40">
      <c r="A54" s="308"/>
      <c r="B54" s="160">
        <v>6.21</v>
      </c>
      <c r="C54" s="149" t="s">
        <v>13152</v>
      </c>
      <c r="D54" s="161">
        <v>44687</v>
      </c>
      <c r="E54" s="169" t="s">
        <v>15523</v>
      </c>
      <c r="F54" s="169" t="s">
        <v>15513</v>
      </c>
      <c r="G54" s="25"/>
    </row>
    <row r="55" spans="1:7" ht="40">
      <c r="A55" s="308"/>
      <c r="B55" s="160">
        <v>6.22</v>
      </c>
      <c r="C55" s="149" t="s">
        <v>13152</v>
      </c>
      <c r="D55" s="275">
        <v>44692</v>
      </c>
      <c r="E55" s="169" t="s">
        <v>15522</v>
      </c>
      <c r="F55" s="169" t="s">
        <v>15513</v>
      </c>
      <c r="G55" s="25"/>
    </row>
    <row r="56" spans="1:7" ht="50">
      <c r="A56" s="308"/>
      <c r="B56" s="202">
        <v>6.3</v>
      </c>
      <c r="C56" s="149" t="s">
        <v>13152</v>
      </c>
      <c r="D56" s="275">
        <v>45051</v>
      </c>
      <c r="E56" s="169" t="s">
        <v>15790</v>
      </c>
      <c r="F56" s="169" t="s">
        <v>15571</v>
      </c>
      <c r="G56" s="25"/>
    </row>
    <row r="57" spans="1:7" ht="40">
      <c r="A57" s="308"/>
      <c r="B57" s="160">
        <v>6.31</v>
      </c>
      <c r="C57" s="149" t="s">
        <v>13152</v>
      </c>
      <c r="D57" s="275">
        <v>45072</v>
      </c>
      <c r="E57" s="169" t="s">
        <v>15792</v>
      </c>
      <c r="F57" s="169" t="s">
        <v>15571</v>
      </c>
      <c r="G57" s="25"/>
    </row>
    <row r="58" spans="1:7" ht="14" thickBot="1">
      <c r="A58" s="309"/>
      <c r="B58" s="310" t="str">
        <f ca="1">OFFSET(L!$C$1,MATCH("General"&amp;"Cpy",L!$A:$A,0)-1,SL,,)</f>
        <v>© 2023 Responsible Minerals Initiative. All rights reserved.</v>
      </c>
      <c r="C58" s="310"/>
      <c r="D58" s="310"/>
      <c r="E58" s="310"/>
      <c r="F58" s="310"/>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D36232-600E-411C-9A86-0A763EA664B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EDC2186-8BBA-4937-A7E7-697AD9C50A8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15817</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45082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28" t="s">
        <v>15810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t="s">
        <v>15810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5" priority="159" stopIfTrue="1">
      <formula>IF($D$22="",TRUE)</formula>
    </cfRule>
  </conditionalFormatting>
  <conditionalFormatting sqref="D26:E26">
    <cfRule type="expression" dxfId="94" priority="137" stopIfTrue="1">
      <formula>IF($D$26="",TRUE)</formula>
    </cfRule>
  </conditionalFormatting>
  <conditionalFormatting sqref="D27:E27">
    <cfRule type="expression" dxfId="93" priority="144" stopIfTrue="1">
      <formula>IF($D$27="",TRUE)</formula>
    </cfRule>
  </conditionalFormatting>
  <conditionalFormatting sqref="D28:E28">
    <cfRule type="expression" dxfId="92" priority="145" stopIfTrue="1">
      <formula>IF($D$28="",TRUE)</formula>
    </cfRule>
  </conditionalFormatting>
  <conditionalFormatting sqref="D29:E29">
    <cfRule type="expression" dxfId="91" priority="146" stopIfTrue="1">
      <formula>IF($D$29="",TRUE)</formula>
    </cfRule>
  </conditionalFormatting>
  <conditionalFormatting sqref="D32:E32">
    <cfRule type="expression" dxfId="90" priority="55" stopIfTrue="1">
      <formula>IF(AND(OR($D$26="Yes",$D$26=""),$D$32=""),1,0)</formula>
    </cfRule>
    <cfRule type="expression" dxfId="89" priority="142" stopIfTrue="1">
      <formula>$P$26=""</formula>
    </cfRule>
  </conditionalFormatting>
  <conditionalFormatting sqref="D33:E33">
    <cfRule type="expression" dxfId="88" priority="43" stopIfTrue="1">
      <formula>$P$27=""</formula>
    </cfRule>
    <cfRule type="expression" dxfId="87" priority="42" stopIfTrue="1">
      <formula>IF(AND(OR($D$27="Yes",$D$27=""),$D$33=""),1,0)</formula>
    </cfRule>
  </conditionalFormatting>
  <conditionalFormatting sqref="D34:E34">
    <cfRule type="expression" dxfId="86" priority="1" stopIfTrue="1">
      <formula>IF(AND(OR($D$28="Yes",$D$28=""),$D$34=""),1,0)</formula>
    </cfRule>
    <cfRule type="expression" dxfId="85" priority="2" stopIfTrue="1">
      <formula>$P$28=""</formula>
    </cfRule>
  </conditionalFormatting>
  <conditionalFormatting sqref="D35:E35">
    <cfRule type="expression" dxfId="84" priority="39" stopIfTrue="1">
      <formula>IF(AND(OR($D$29="Yes",$D$29=""),$D$35=""),1,0)</formula>
    </cfRule>
    <cfRule type="expression" dxfId="83" priority="163" stopIfTrue="1">
      <formula>$P$29=""</formula>
    </cfRule>
  </conditionalFormatting>
  <conditionalFormatting sqref="D38:E38 D44:E44 D50:E50 D56:E56 D62:E62 D68:E68">
    <cfRule type="expression" dxfId="82" priority="18" stopIfTrue="1">
      <formula>$P$26=""</formula>
    </cfRule>
    <cfRule type="expression" dxfId="81" priority="19" stopIfTrue="1">
      <formula>$P$32=""</formula>
    </cfRule>
  </conditionalFormatting>
  <conditionalFormatting sqref="D38:E38">
    <cfRule type="expression" dxfId="80" priority="54" stopIfTrue="1">
      <formula>IF(AND(OR($D$26="Yes",$D$26=""),OR($D$32="Yes",$D$32=""),D38=""),1,0)</formula>
    </cfRule>
  </conditionalFormatting>
  <conditionalFormatting sqref="D39:E39 D45:E45 D51:E51 D57:E57 D63:E63 D69:E69">
    <cfRule type="expression" dxfId="79" priority="12" stopIfTrue="1">
      <formula>$P$33=""</formula>
    </cfRule>
    <cfRule type="expression" dxfId="78" priority="13" stopIfTrue="1">
      <formula>$P$39=""</formula>
    </cfRule>
  </conditionalFormatting>
  <conditionalFormatting sqref="D39:E39">
    <cfRule type="expression" dxfId="77" priority="50" stopIfTrue="1">
      <formula>IF(AND(OR($D$27="Yes",$D$27=""),OR($D$33="Yes",$D$33=""),D39=""),1,0)</formula>
    </cfRule>
  </conditionalFormatting>
  <conditionalFormatting sqref="D40:E40 D46:E46 D52:E52 D58:E58 D64:E64 D70:E70">
    <cfRule type="expression" dxfId="76" priority="7" stopIfTrue="1">
      <formula>$P$28=""</formula>
    </cfRule>
    <cfRule type="expression" dxfId="75" priority="8" stopIfTrue="1">
      <formula>$P$34=""</formula>
    </cfRule>
  </conditionalFormatting>
  <conditionalFormatting sqref="D40:E40">
    <cfRule type="expression" dxfId="74" priority="49" stopIfTrue="1">
      <formula>IF(AND(OR($D$28="Yes",$D$28=""),OR($D$34="Yes",$D$34=""),D40=""),1,0)</formula>
    </cfRule>
  </conditionalFormatting>
  <conditionalFormatting sqref="D41:E41 D47:E47 D53:E53 D59:E59 D65:E65 D71:E71">
    <cfRule type="expression" dxfId="73" priority="3" stopIfTrue="1">
      <formula>$P$29=""</formula>
    </cfRule>
    <cfRule type="expression" dxfId="72" priority="4" stopIfTrue="1">
      <formula>$P$35=""</formula>
    </cfRule>
  </conditionalFormatting>
  <conditionalFormatting sqref="D41:E41">
    <cfRule type="expression" dxfId="71" priority="165" stopIfTrue="1">
      <formula>IF(AND(OR($D$29="Yes",$D$29=""),OR($D$35="Yes",$D$35=""),D41=""),1,0)</formula>
    </cfRule>
  </conditionalFormatting>
  <conditionalFormatting sqref="D44:E44">
    <cfRule type="expression" dxfId="70" priority="53" stopIfTrue="1">
      <formula>IF(AND(OR($D$26="Yes",$D$26=""),OR($D$32="Yes",$D$32=""),D44=""),1,0)</formula>
    </cfRule>
  </conditionalFormatting>
  <conditionalFormatting sqref="D45:E45">
    <cfRule type="expression" dxfId="69" priority="15" stopIfTrue="1">
      <formula>IF(AND(OR($D$27="Yes",$D$27=""),OR($D$33="Yes",$D$33=""),D45=""),1,0)</formula>
    </cfRule>
  </conditionalFormatting>
  <conditionalFormatting sqref="D46:E46">
    <cfRule type="expression" dxfId="68" priority="40" stopIfTrue="1">
      <formula>IF(AND(OR($D$28="Yes",$D$28=""),OR($D$34="Yes",$D$34=""),D46=""),1,0)</formula>
    </cfRule>
  </conditionalFormatting>
  <conditionalFormatting sqref="D47:E47">
    <cfRule type="expression" dxfId="67" priority="48" stopIfTrue="1">
      <formula>IF(AND(OR($D$29="Yes",$D$29=""),OR($D$35="Yes",$D$35=""),D47=""),1,0)</formula>
    </cfRule>
  </conditionalFormatting>
  <conditionalFormatting sqref="D50:E50">
    <cfRule type="expression" dxfId="66" priority="21" stopIfTrue="1">
      <formula>IF(AND(OR($D$26="Yes",$D$26=""),OR($D$32="Yes",$D$32=""),D50=""),1,0)</formula>
    </cfRule>
  </conditionalFormatting>
  <conditionalFormatting sqref="D51:E51">
    <cfRule type="expression" dxfId="65" priority="160" stopIfTrue="1">
      <formula>IF(AND(OR($D$27="Yes",$D$27=""),OR($D$33="Yes",$D$33=""),D51=""),1,0)</formula>
    </cfRule>
  </conditionalFormatting>
  <conditionalFormatting sqref="D52:E52">
    <cfRule type="expression" dxfId="64" priority="11" stopIfTrue="1">
      <formula>IF(AND(OR($D$28="Yes",$D$28=""),OR($D$34="Yes",$D$34=""),D52=""),1,0)</formula>
    </cfRule>
  </conditionalFormatting>
  <conditionalFormatting sqref="D53:E53">
    <cfRule type="expression" dxfId="63" priority="34" stopIfTrue="1">
      <formula>IF(AND(OR($D$29="Yes",$D$29=""),OR($D$35="Yes",$D$35=""),D53=""),1,0)</formula>
    </cfRule>
  </conditionalFormatting>
  <conditionalFormatting sqref="D56:E56">
    <cfRule type="expression" dxfId="62" priority="29" stopIfTrue="1">
      <formula>IF(AND(OR($D$26="Yes",$D$26=""),OR($D$32="Yes",$D$32=""),D56=""),1,0)</formula>
    </cfRule>
  </conditionalFormatting>
  <conditionalFormatting sqref="D57:E57">
    <cfRule type="expression" dxfId="61" priority="17" stopIfTrue="1">
      <formula>IF(AND(OR($D$27="Yes",$D$27=""),OR($D$33="Yes",$D$33=""),D57=""),1,0)</formula>
    </cfRule>
  </conditionalFormatting>
  <conditionalFormatting sqref="D58:E58">
    <cfRule type="expression" dxfId="60" priority="10" stopIfTrue="1">
      <formula>IF(AND(OR($D$28="Yes",$D$28=""),OR($D$34="Yes",$D$34=""),D58=""),1,0)</formula>
    </cfRule>
  </conditionalFormatting>
  <conditionalFormatting sqref="D59:E59">
    <cfRule type="expression" dxfId="59" priority="6" stopIfTrue="1">
      <formula>IF(AND(OR($D$29="Yes",$D$29=""),OR($D$35="Yes",$D$35=""),D59=""),1,0)</formula>
    </cfRule>
  </conditionalFormatting>
  <conditionalFormatting sqref="D62:E62">
    <cfRule type="expression" dxfId="58" priority="28" stopIfTrue="1">
      <formula>IF(AND(OR($D$26="Yes",$D$26=""),OR($D$32="Yes",$D$32=""),D62=""),1,0)</formula>
    </cfRule>
  </conditionalFormatting>
  <conditionalFormatting sqref="D63:E63">
    <cfRule type="expression" dxfId="57" priority="14" stopIfTrue="1">
      <formula>IF(AND(OR($D$27="Yes",$D$27=""),OR($D$33="Yes",$D$33=""),D63=""),1,0)</formula>
    </cfRule>
  </conditionalFormatting>
  <conditionalFormatting sqref="D64:E64">
    <cfRule type="expression" dxfId="56" priority="9" stopIfTrue="1">
      <formula>IF(AND(OR($D$28="Yes",$D$28=""),OR($D$34="Yes",$D$34=""),D64=""),1,0)</formula>
    </cfRule>
  </conditionalFormatting>
  <conditionalFormatting sqref="D65:E65">
    <cfRule type="expression" dxfId="55" priority="5" stopIfTrue="1">
      <formula>IF(AND(OR($D$29="Yes",$D$29=""),OR($D$35="Yes",$D$35=""),D65=""),1,0)</formula>
    </cfRule>
  </conditionalFormatting>
  <conditionalFormatting sqref="D68:E68">
    <cfRule type="expression" dxfId="54" priority="20" stopIfTrue="1">
      <formula>IF(AND(OR($D$26="Yes",$D$26=""),OR($D$32="Yes",$D$32=""),D68=""),1,0)</formula>
    </cfRule>
  </conditionalFormatting>
  <conditionalFormatting sqref="D69:E69">
    <cfRule type="expression" dxfId="53" priority="16" stopIfTrue="1">
      <formula>IF(AND(OR($D$27="Yes",$D$27=""),OR($D$33="Yes",$D$33=""),D69=""),1,0)</formula>
    </cfRule>
  </conditionalFormatting>
  <conditionalFormatting sqref="D70:E70">
    <cfRule type="expression" dxfId="52" priority="162" stopIfTrue="1">
      <formula>IF(AND(OR($D$28="Yes",$D$28=""),OR($D$34="Yes",$D$34=""),D70=""),1,0)</formula>
    </cfRule>
  </conditionalFormatting>
  <conditionalFormatting sqref="D71:E71">
    <cfRule type="expression" dxfId="51" priority="164" stopIfTrue="1">
      <formula>IF(AND(OR($D$29="Yes",$D$29=""),OR($D$35="Yes",$D$35=""),D71=""),1,0)</formula>
    </cfRule>
  </conditionalFormatting>
  <conditionalFormatting sqref="D75:E75 D77:E77 D79:E79 D81:E81 D83 D85:E85 D87:E87 D89:E89">
    <cfRule type="expression" dxfId="50" priority="85" stopIfTrue="1">
      <formula>AND(OR($D$26="No",AND($D$26="Yes",$D$32="No")),OR($D$27="No",AND($D$27="Yes",$D$33="No")),OR($D$28="No",AND($D$28="Yes",$D$34="No")),OR($D$29="No",AND($D$29="Yes",$D$35="No")))</formula>
    </cfRule>
    <cfRule type="expression" dxfId="49" priority="86" stopIfTrue="1">
      <formula>IF(D75="",TRUE)</formula>
    </cfRule>
  </conditionalFormatting>
  <conditionalFormatting sqref="D9:G9">
    <cfRule type="expression" dxfId="48" priority="152" stopIfTrue="1">
      <formula>IF($D$9="",TRUE)</formula>
    </cfRule>
  </conditionalFormatting>
  <conditionalFormatting sqref="D8:J8">
    <cfRule type="expression" dxfId="47" priority="151" stopIfTrue="1">
      <formula>IF($D$8="",TRUE)</formula>
    </cfRule>
  </conditionalFormatting>
  <conditionalFormatting sqref="D10:J10">
    <cfRule type="expression" dxfId="46" priority="166" stopIfTrue="1">
      <formula>IF(AND($D$10="",$D$9=$R$9),TRUE)</formula>
    </cfRule>
    <cfRule type="expression" dxfId="45" priority="56" stopIfTrue="1">
      <formula>IF($D$9=$Q$9,TRUE)</formula>
    </cfRule>
  </conditionalFormatting>
  <conditionalFormatting sqref="D15:J15">
    <cfRule type="expression" dxfId="44" priority="153" stopIfTrue="1">
      <formula>IF($D$15="",TRUE)</formula>
    </cfRule>
  </conditionalFormatting>
  <conditionalFormatting sqref="D16:J16">
    <cfRule type="expression" dxfId="43" priority="154" stopIfTrue="1">
      <formula>IF($D$16="",TRUE)</formula>
    </cfRule>
  </conditionalFormatting>
  <conditionalFormatting sqref="D17:J17">
    <cfRule type="expression" dxfId="42" priority="22" stopIfTrue="1">
      <formula>IF($D$17="",TRUE)</formula>
    </cfRule>
  </conditionalFormatting>
  <conditionalFormatting sqref="D18:J18">
    <cfRule type="expression" dxfId="41" priority="156" stopIfTrue="1">
      <formula>IF($D$18="",TRUE)</formula>
    </cfRule>
  </conditionalFormatting>
  <conditionalFormatting sqref="D20:J20">
    <cfRule type="expression" dxfId="40" priority="35" stopIfTrue="1">
      <formula>IF($D$20="",TRUE)</formula>
    </cfRule>
  </conditionalFormatting>
  <conditionalFormatting sqref="G77:J77">
    <cfRule type="expression" dxfId="39" priority="57" stopIfTrue="1">
      <formula>IF(AND($D$77="Yes",$G$77=""),TRUE)</formula>
    </cfRule>
  </conditionalFormatting>
  <conditionalFormatting sqref="G85:J85">
    <cfRule type="expression" dxfId="3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BD4673-4678-46A4-B1A8-B25B500622B1}"/>
    <hyperlink ref="D20" r:id="rId4" xr:uid="{C934A0AC-5362-4EC3-8169-13A52482242C}"/>
    <hyperlink ref="G77" r:id="rId5" xr:uid="{251F54CD-A3CD-4A2C-86A9-ED28ED4ABE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0" zoomScaleNormal="100" zoomScalePageLayoutView="55" workbookViewId="0">
      <selection activeCell="C45" sqref="C4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736</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t="s">
        <v>15805</v>
      </c>
      <c r="I5" s="184" t="str">
        <f ca="1">IF(ISERROR($V5),"",OFFSET('Smelter Look-up'!$H$4,$V5-4,0))</f>
        <v>Hoboken</v>
      </c>
      <c r="J5" s="184" t="str">
        <f ca="1">IF(ISERROR($V5),"",OFFSET('Smelter Look-up'!$I$4,$V5-4,0))</f>
        <v>Antwerpen</v>
      </c>
      <c r="K5" s="224" t="s">
        <v>15806</v>
      </c>
      <c r="L5" s="224" t="s">
        <v>15807</v>
      </c>
      <c r="M5" s="224" t="s">
        <v>15808</v>
      </c>
      <c r="N5" s="224" t="s">
        <v>15809</v>
      </c>
      <c r="O5" s="224" t="s">
        <v>15809</v>
      </c>
      <c r="P5" s="185" t="s">
        <v>488</v>
      </c>
      <c r="Q5" s="225" t="s">
        <v>15808</v>
      </c>
      <c r="R5" s="182" t="str">
        <f ca="1">IF(ISERROR($V5),"",OFFSET('Smelter Look-up'!$C$4,$V5-4,0)&amp;"")</f>
        <v>Umicore S.A. Business Unit Precious Metals Refining</v>
      </c>
      <c r="S5" s="181" t="str">
        <f t="shared" ref="S5" ca="1" si="0">IF(B5="","",IF(ISERROR(MATCH($E5,CL,0)),"Unknown",INDIRECT("'C'!$A$"&amp;MATCH($E5,CL,0)+1)))</f>
        <v>BE</v>
      </c>
      <c r="T5" s="181" t="str">
        <f ca="1">IF(B5="","",IF(ISERROR(MATCH($J5,SorP!$B$1:$B$6279,0)),"",INDIRECT("'SorP'!$A$"&amp;MATCH($S5&amp;$J5,SorP!C:C,0))))</f>
        <v>BE-VAN</v>
      </c>
      <c r="U5" s="201"/>
      <c r="V5" s="226">
        <f ca="1">IF(C5="",NA(),IF(OR(C5="Smelter not listed",C5="Smelter not yet identified"),MATCH($B5&amp;$D5,'Smelter Look-up'!$J:$J,0),MATCH($B5&amp;$C5,'Smelter Look-up'!$J:$J,0)))</f>
        <v>293</v>
      </c>
      <c r="X5" s="227">
        <f t="shared" ref="X5" ca="1" si="1">IF(AND(C5="Smelter not listed",OR(LEN(D5)=0,LEN(E5)=0)),1,0)</f>
        <v>0</v>
      </c>
      <c r="AB5" s="228" t="str">
        <f t="shared" ref="AB5" ca="1" si="2">B5&amp;C5</f>
        <v>GoldUmicore S.A. Business Unit Precious Metals Refining</v>
      </c>
    </row>
    <row r="6" spans="1:34" s="227" customFormat="1" ht="19.899999999999999" customHeight="1">
      <c r="A6" s="262" t="s">
        <v>2278</v>
      </c>
      <c r="B6" s="182" t="str">
        <f ca="1">IF(LEN(A6)=0,"",INDEX('Smelter Look-up'!$A:$A,MATCH($A6,'Smelter Look-up'!$E:$E,0)))</f>
        <v>Tin</v>
      </c>
      <c r="C6" s="186" t="str">
        <f ca="1">IF(LEN(A6)=0,"",INDEX('Smelter Look-up'!$C:$C,MATCH($A6,'Smelter Look-up'!$E:$E,0)))</f>
        <v>Chenzhou Yunxiang Mining and Metallurgy Co., Ltd.</v>
      </c>
      <c r="D6" s="230"/>
      <c r="E6" s="182" t="str">
        <f ca="1">IF(ISERROR($V6),"",OFFSET('Smelter Look-up'!$D$4,$V6-4,0)&amp;"")</f>
        <v>CHINA</v>
      </c>
      <c r="F6" s="182" t="str">
        <f ca="1">IF(ISERROR($V6),"",OFFSET('Smelter Look-up'!$E$4,$V6-4,0))</f>
        <v>CID000228</v>
      </c>
      <c r="G6" s="182" t="str">
        <f ca="1">IF(C6=$X$4,IF(ISERROR($V6),"Enter smelter details","RMI"),IF(ISERROR($V6),"",OFFSET('Smelter Look-up'!$F$4,$V6-4,0)))</f>
        <v>RMI</v>
      </c>
      <c r="H6" s="183">
        <f ca="1">IF(ISERROR($V6),"",OFFSET('Smelter Look-up'!$G$4,$V6-4,0))</f>
        <v>0</v>
      </c>
      <c r="I6" s="184" t="str">
        <f ca="1">IF(ISERROR($V6),"",OFFSET('Smelter Look-up'!$H$4,$V6-4,0))</f>
        <v>Chenzhou</v>
      </c>
      <c r="J6" s="184" t="str">
        <f ca="1">IF(ISERROR($V6),"",OFFSET('Smelter Look-up'!$I$4,$V6-4,0))</f>
        <v>Hunan Sheng</v>
      </c>
      <c r="K6" s="224"/>
      <c r="L6" s="224"/>
      <c r="M6" s="224"/>
      <c r="N6" s="224"/>
      <c r="O6" s="224"/>
      <c r="P6" s="185"/>
      <c r="Q6" s="225"/>
      <c r="R6" s="182" t="str">
        <f ca="1">IF(ISERROR($V6),"",OFFSET('Smelter Look-up'!$C$4,$V6-4,0)&amp;"")</f>
        <v>Chenzhou Yunxiang Mining and Metallurgy Co., Ltd.</v>
      </c>
      <c r="S6" s="181" t="str">
        <f t="shared" ref="S6:S37" ca="1" si="3">IF(B6="","",IF(ISERROR(MATCH($E6,CL,0)),"Unknown",INDIRECT("'C'!$A$"&amp;MATCH($E6,CL,0)+1)))</f>
        <v>CN</v>
      </c>
      <c r="T6" s="181" t="str">
        <f ca="1">IF(B6="","",IF(ISERROR(MATCH($J6,SorP!$B$1:$B$6279,0)),"",INDIRECT("'SorP'!$A$"&amp;MATCH($S6&amp;$J6,SorP!C:C,0))))</f>
        <v>CN-HN</v>
      </c>
      <c r="U6" s="201"/>
      <c r="V6" s="226">
        <f ca="1">IF(C6="",NA(),IF(OR(C6="Smelter not listed",C6="Smelter not yet identified"),MATCH($B6&amp;$D6,'Smelter Look-up'!$J:$J,0),MATCH($B6&amp;$C6,'Smelter Look-up'!$J:$J,0)))</f>
        <v>400</v>
      </c>
      <c r="X6" s="227">
        <f t="shared" ref="X6:X37" ca="1" si="4">IF(AND(C6="Smelter not listed",OR(LEN(D6)=0,LEN(E6)=0)),1,0)</f>
        <v>0</v>
      </c>
      <c r="AB6" s="228" t="str">
        <f t="shared" ref="AB6:AB37" ca="1" si="5">B6&amp;C6</f>
        <v>TinChenzhou Yunxiang Mining and Metallurgy Co., Ltd.</v>
      </c>
    </row>
    <row r="7" spans="1:34" s="227" customFormat="1" ht="19.899999999999999" customHeight="1">
      <c r="A7" s="262" t="s">
        <v>763</v>
      </c>
      <c r="B7" s="182" t="str">
        <f ca="1">IF(LEN(A7)=0,"",INDEX('Smelter Look-up'!$A:$A,MATCH($A7,'Smelter Look-up'!$E:$E,0)))</f>
        <v>Tin</v>
      </c>
      <c r="C7" s="186" t="str">
        <f ca="1">IF(LEN(A7)=0,"",INDEX('Smelter Look-up'!$C:$C,MATCH($A7,'Smelter Look-up'!$E:$E,0)))</f>
        <v>Alpha</v>
      </c>
      <c r="D7" s="230"/>
      <c r="E7" s="182" t="str">
        <f ca="1">IF(ISERROR($V7),"",OFFSET('Smelter Look-up'!$D$4,$V7-4,0)&amp;"")</f>
        <v>UNITED STATES OF AMERICA</v>
      </c>
      <c r="F7" s="182" t="str">
        <f ca="1">IF(ISERROR($V7),"",OFFSET('Smelter Look-up'!$E$4,$V7-4,0))</f>
        <v>CID000292</v>
      </c>
      <c r="G7" s="182" t="str">
        <f ca="1">IF(C7=$X$4,IF(ISERROR($V7),"Enter smelter details","RMI"),IF(ISERROR($V7),"",OFFSET('Smelter Look-up'!$F$4,$V7-4,0)))</f>
        <v>RMI</v>
      </c>
      <c r="H7" s="183">
        <f ca="1">IF(ISERROR($V7),"",OFFSET('Smelter Look-up'!$G$4,$V7-4,0))</f>
        <v>0</v>
      </c>
      <c r="I7" s="184" t="str">
        <f ca="1">IF(ISERROR($V7),"",OFFSET('Smelter Look-up'!$H$4,$V7-4,0))</f>
        <v>Altoona</v>
      </c>
      <c r="J7" s="184" t="str">
        <f ca="1">IF(ISERROR($V7),"",OFFSET('Smelter Look-up'!$I$4,$V7-4,0))</f>
        <v>Pennsylvania</v>
      </c>
      <c r="K7" s="224"/>
      <c r="L7" s="224"/>
      <c r="M7" s="224"/>
      <c r="N7" s="224"/>
      <c r="O7" s="224"/>
      <c r="P7" s="185"/>
      <c r="Q7" s="225"/>
      <c r="R7" s="182" t="str">
        <f ca="1">IF(ISERROR($V7),"",OFFSET('Smelter Look-up'!$C$4,$V7-4,0)&amp;"")</f>
        <v>Alpha</v>
      </c>
      <c r="S7" s="181" t="str">
        <f t="shared" ca="1" si="3"/>
        <v>US</v>
      </c>
      <c r="T7" s="181" t="str">
        <f ca="1">IF(B7="","",IF(ISERROR(MATCH($J7,SorP!$B$1:$B$6279,0)),"",INDIRECT("'SorP'!$A$"&amp;MATCH($S7&amp;$J7,SorP!C:C,0))))</f>
        <v>US-PA</v>
      </c>
      <c r="U7" s="201"/>
      <c r="V7" s="226">
        <f ca="1">IF(C7="",NA(),IF(OR(C7="Smelter not listed",C7="Smelter not yet identified"),MATCH($B7&amp;$D7,'Smelter Look-up'!$J:$J,0),MATCH($B7&amp;$C7,'Smelter Look-up'!$J:$J,0)))</f>
        <v>389</v>
      </c>
      <c r="X7" s="227">
        <f t="shared" ca="1" si="4"/>
        <v>0</v>
      </c>
      <c r="AB7" s="228" t="str">
        <f t="shared" ca="1" si="5"/>
        <v>TinAlpha</v>
      </c>
    </row>
    <row r="8" spans="1:34" s="227" customFormat="1" ht="19.899999999999999" customHeight="1">
      <c r="A8" s="262" t="s">
        <v>15095</v>
      </c>
      <c r="B8" s="182" t="str">
        <f ca="1">IF(LEN(A8)=0,"",INDEX('Smelter Look-up'!$A:$A,MATCH($A8,'Smelter Look-up'!$E:$E,0)))</f>
        <v>Tin</v>
      </c>
      <c r="C8" s="186" t="str">
        <f ca="1">IF(LEN(A8)=0,"",INDEX('Smelter Look-up'!$C:$C,MATCH($A8,'Smelter Look-up'!$E:$E,0)))</f>
        <v>PT Aries Kencana Sejahtera</v>
      </c>
      <c r="D8" s="230"/>
      <c r="E8" s="182" t="str">
        <f ca="1">IF(ISERROR($V8),"",OFFSET('Smelter Look-up'!$D$4,$V8-4,0)&amp;"")</f>
        <v>INDONESIA</v>
      </c>
      <c r="F8" s="182" t="str">
        <f ca="1">IF(ISERROR($V8),"",OFFSET('Smelter Look-up'!$E$4,$V8-4,0))</f>
        <v>CID000309</v>
      </c>
      <c r="G8" s="182" t="str">
        <f ca="1">IF(C8=$X$4,IF(ISERROR($V8),"Enter smelter details","RMI"),IF(ISERROR($V8),"",OFFSET('Smelter Look-up'!$F$4,$V8-4,0)))</f>
        <v>RMI</v>
      </c>
      <c r="H8" s="183">
        <f ca="1">IF(ISERROR($V8),"",OFFSET('Smelter Look-up'!$G$4,$V8-4,0))</f>
        <v>0</v>
      </c>
      <c r="I8" s="184" t="str">
        <f ca="1">IF(ISERROR($V8),"",OFFSET('Smelter Look-up'!$H$4,$V8-4,0))</f>
        <v>Pemali</v>
      </c>
      <c r="J8" s="184" t="str">
        <f ca="1">IF(ISERROR($V8),"",OFFSET('Smelter Look-up'!$I$4,$V8-4,0))</f>
        <v>Kepulauan Bangka Belitung</v>
      </c>
      <c r="K8" s="224"/>
      <c r="L8" s="224"/>
      <c r="M8" s="224"/>
      <c r="N8" s="224"/>
      <c r="O8" s="224"/>
      <c r="P8" s="185"/>
      <c r="Q8" s="225"/>
      <c r="R8" s="182" t="str">
        <f ca="1">IF(ISERROR($V8),"",OFFSET('Smelter Look-up'!$C$4,$V8-4,0)&amp;"")</f>
        <v>PT Aries Kencana Sejahtera</v>
      </c>
      <c r="S8" s="181" t="str">
        <f t="shared" ca="1" si="3"/>
        <v>ID</v>
      </c>
      <c r="T8" s="181" t="str">
        <f ca="1">IF(B8="","",IF(ISERROR(MATCH($J8,SorP!$B$1:$B$6279,0)),"",INDIRECT("'SorP'!$A$"&amp;MATCH($S8&amp;$J8,SorP!C:C,0))))</f>
        <v>ID-BB</v>
      </c>
      <c r="U8" s="201"/>
      <c r="V8" s="226">
        <f ca="1">IF(C8="",NA(),IF(OR(C8="Smelter not listed",C8="Smelter not yet identified"),MATCH($B8&amp;$D8,'Smelter Look-up'!$J:$J,0),MATCH($B8&amp;$C8,'Smelter Look-up'!$J:$J,0)))</f>
        <v>486</v>
      </c>
      <c r="X8" s="227">
        <f t="shared" ca="1" si="4"/>
        <v>0</v>
      </c>
      <c r="AB8" s="228" t="str">
        <f t="shared" ca="1" si="5"/>
        <v>TinPT Aries Kencana Sejahtera</v>
      </c>
    </row>
    <row r="9" spans="1:34" s="227" customFormat="1" ht="19.899999999999999" customHeight="1">
      <c r="A9" s="262" t="s">
        <v>1405</v>
      </c>
      <c r="B9" s="182" t="str">
        <f ca="1">IF(LEN(A9)=0,"",INDEX('Smelter Look-up'!$A:$A,MATCH($A9,'Smelter Look-up'!$E:$E,0)))</f>
        <v>Tin</v>
      </c>
      <c r="C9" s="186" t="str">
        <f ca="1">IF(LEN(A9)=0,"",INDEX('Smelter Look-up'!$C:$C,MATCH($A9,'Smelter Look-up'!$E:$E,0)))</f>
        <v>Dowa</v>
      </c>
      <c r="D9" s="230"/>
      <c r="E9" s="182" t="str">
        <f ca="1">IF(ISERROR($V9),"",OFFSET('Smelter Look-up'!$D$4,$V9-4,0)&amp;"")</f>
        <v>JAPAN</v>
      </c>
      <c r="F9" s="182" t="str">
        <f ca="1">IF(ISERROR($V9),"",OFFSET('Smelter Look-up'!$E$4,$V9-4,0))</f>
        <v>CID000402</v>
      </c>
      <c r="G9" s="182" t="str">
        <f ca="1">IF(C9=$X$4,IF(ISERROR($V9),"Enter smelter details","RMI"),IF(ISERROR($V9),"",OFFSET('Smelter Look-up'!$F$4,$V9-4,0)))</f>
        <v>RMI</v>
      </c>
      <c r="H9" s="183">
        <f ca="1">IF(ISERROR($V9),"",OFFSET('Smelter Look-up'!$G$4,$V9-4,0))</f>
        <v>0</v>
      </c>
      <c r="I9" s="184" t="str">
        <f ca="1">IF(ISERROR($V9),"",OFFSET('Smelter Look-up'!$H$4,$V9-4,0))</f>
        <v>Kosaka</v>
      </c>
      <c r="J9" s="184" t="str">
        <f ca="1">IF(ISERROR($V9),"",OFFSET('Smelter Look-up'!$I$4,$V9-4,0))</f>
        <v>Akita</v>
      </c>
      <c r="K9" s="224"/>
      <c r="L9" s="224"/>
      <c r="M9" s="224"/>
      <c r="N9" s="224"/>
      <c r="O9" s="224"/>
      <c r="P9" s="185"/>
      <c r="Q9" s="225"/>
      <c r="R9" s="182" t="str">
        <f ca="1">IF(ISERROR($V9),"",OFFSET('Smelter Look-up'!$C$4,$V9-4,0)&amp;"")</f>
        <v>Dowa</v>
      </c>
      <c r="S9" s="181" t="str">
        <f t="shared" ca="1" si="3"/>
        <v>JP</v>
      </c>
      <c r="T9" s="181" t="str">
        <f ca="1">IF(B9="","",IF(ISERROR(MATCH($J9,SorP!$B$1:$B$6279,0)),"",INDIRECT("'SorP'!$A$"&amp;MATCH($S9&amp;$J9,SorP!C:C,0))))</f>
        <v>JP-05</v>
      </c>
      <c r="U9" s="201"/>
      <c r="V9" s="226">
        <f ca="1">IF(C9="",NA(),IF(OR(C9="Smelter not listed",C9="Smelter not yet identified"),MATCH($B9&amp;$D9,'Smelter Look-up'!$J:$J,0),MATCH($B9&amp;$C9,'Smelter Look-up'!$J:$J,0)))</f>
        <v>417</v>
      </c>
      <c r="X9" s="227">
        <f t="shared" ca="1" si="4"/>
        <v>0</v>
      </c>
      <c r="AB9" s="228" t="str">
        <f t="shared" ca="1" si="5"/>
        <v>TinDowa</v>
      </c>
    </row>
    <row r="10" spans="1:34" s="227" customFormat="1" ht="19.899999999999999" customHeight="1">
      <c r="A10" s="262" t="s">
        <v>764</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EM Vinto</v>
      </c>
      <c r="S10" s="181" t="str">
        <f t="shared" ca="1" si="3"/>
        <v>BO</v>
      </c>
      <c r="T10" s="181" t="str">
        <f ca="1">IF(B10="","",IF(ISERROR(MATCH($J10,SorP!$B$1:$B$6279,0)),"",INDIRECT("'SorP'!$A$"&amp;MATCH($S10&amp;$J10,SorP!C:C,0))))</f>
        <v>BO-O</v>
      </c>
      <c r="U10" s="201"/>
      <c r="V10" s="226">
        <f ca="1">IF(C10="",NA(),IF(OR(C10="Smelter not listed",C10="Smelter not yet identified"),MATCH($B10&amp;$D10,'Smelter Look-up'!$J:$J,0),MATCH($B10&amp;$C10,'Smelter Look-up'!$J:$J,0)))</f>
        <v>421</v>
      </c>
      <c r="X10" s="227">
        <f t="shared" ca="1" si="4"/>
        <v>0</v>
      </c>
      <c r="AB10" s="228" t="str">
        <f t="shared" ca="1" si="5"/>
        <v>TinEM Vinto</v>
      </c>
    </row>
    <row r="11" spans="1:34" s="227" customFormat="1" ht="19.899999999999999" customHeight="1">
      <c r="A11" s="262" t="s">
        <v>766</v>
      </c>
      <c r="B11" s="182" t="str">
        <f ca="1">IF(LEN(A11)=0,"",INDEX('Smelter Look-up'!$A:$A,MATCH($A11,'Smelter Look-up'!$E:$E,0)))</f>
        <v>Tin</v>
      </c>
      <c r="C11" s="186" t="str">
        <f ca="1">IF(LEN(A11)=0,"",INDEX('Smelter Look-up'!$C:$C,MATCH($A11,'Smelter Look-up'!$E:$E,0)))</f>
        <v>Fenix Metals</v>
      </c>
      <c r="D11" s="230"/>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4"/>
      <c r="L11" s="224"/>
      <c r="M11" s="224"/>
      <c r="N11" s="224"/>
      <c r="O11" s="224"/>
      <c r="P11" s="185"/>
      <c r="Q11" s="225"/>
      <c r="R11" s="182" t="str">
        <f ca="1">IF(ISERROR($V11),"",OFFSET('Smelter Look-up'!$C$4,$V11-4,0)&amp;"")</f>
        <v>Fenix Metals</v>
      </c>
      <c r="S11" s="181" t="str">
        <f t="shared" ca="1" si="3"/>
        <v>PL</v>
      </c>
      <c r="T11" s="181" t="str">
        <f ca="1">IF(B11="","",IF(ISERROR(MATCH($J11,SorP!$B$1:$B$6279,0)),"",INDIRECT("'SorP'!$A$"&amp;MATCH($S11&amp;$J11,SorP!C:C,0))))</f>
        <v>PL-18</v>
      </c>
      <c r="U11" s="201"/>
      <c r="V11" s="226">
        <f ca="1">IF(C11="",NA(),IF(OR(C11="Smelter not listed",C11="Smelter not yet identified"),MATCH($B11&amp;$D11,'Smelter Look-up'!$J:$J,0),MATCH($B11&amp;$C11,'Smelter Look-up'!$J:$J,0)))</f>
        <v>430</v>
      </c>
      <c r="X11" s="227">
        <f t="shared" ca="1" si="4"/>
        <v>0</v>
      </c>
      <c r="AB11" s="228" t="str">
        <f t="shared" ca="1" si="5"/>
        <v>TinFenix Metals</v>
      </c>
    </row>
    <row r="12" spans="1:34" s="227" customFormat="1" ht="19.899999999999999" customHeight="1">
      <c r="A12" s="262" t="s">
        <v>770</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3"/>
        <v>CN</v>
      </c>
      <c r="T12" s="181" t="str">
        <f ca="1">IF(B12="","",IF(ISERROR(MATCH($J12,SorP!$B$1:$B$6279,0)),"",INDIRECT("'SorP'!$A$"&amp;MATCH($S12&amp;$J12,SorP!C:C,0))))</f>
        <v>CN-GX</v>
      </c>
      <c r="U12" s="201"/>
      <c r="V12" s="226">
        <f ca="1">IF(C12="",NA(),IF(OR(C12="Smelter not listed",C12="Smelter not yet identified"),MATCH($B12&amp;$D12,'Smelter Look-up'!$J:$J,0),MATCH($B12&amp;$C12,'Smelter Look-up'!$J:$J,0)))</f>
        <v>403</v>
      </c>
      <c r="X12" s="227">
        <f t="shared" ca="1" si="4"/>
        <v>0</v>
      </c>
      <c r="AB12" s="228" t="str">
        <f t="shared" ca="1" si="5"/>
        <v>TinChina Tin Group Co., Ltd.</v>
      </c>
    </row>
    <row r="13" spans="1:34" s="227" customFormat="1" ht="19.899999999999999" customHeight="1">
      <c r="A13" s="262" t="s">
        <v>771</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 ca="1">IF(C13="",NA(),IF(OR(C13="Smelter not listed",C13="Smelter not yet identified"),MATCH($B13&amp;$D13,'Smelter Look-up'!$J:$J,0),MATCH($B13&amp;$C13,'Smelter Look-up'!$J:$J,0)))</f>
        <v>458</v>
      </c>
      <c r="X13" s="227">
        <f t="shared" ca="1" si="4"/>
        <v>0</v>
      </c>
      <c r="AB13" s="228" t="str">
        <f t="shared" ca="1" si="5"/>
        <v>TinMalaysia Smelting Corporation (MSC)</v>
      </c>
    </row>
    <row r="14" spans="1:34" s="227" customFormat="1" ht="19.899999999999999" customHeight="1">
      <c r="A14" s="262" t="s">
        <v>1781</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3"/>
        <v>US</v>
      </c>
      <c r="T14" s="181" t="str">
        <f ca="1">IF(B14="","",IF(ISERROR(MATCH($J14,SorP!$B$1:$B$6279,0)),"",INDIRECT("'SorP'!$A$"&amp;MATCH($S14&amp;$J14,SorP!C:C,0))))</f>
        <v>US-OH</v>
      </c>
      <c r="U14" s="201"/>
      <c r="V14" s="226">
        <f ca="1">IF(C14="",NA(),IF(OR(C14="Smelter not listed",C14="Smelter not yet identified"),MATCH($B14&amp;$D14,'Smelter Look-up'!$J:$J,0),MATCH($B14&amp;$C14,'Smelter Look-up'!$J:$J,0)))</f>
        <v>462</v>
      </c>
      <c r="X14" s="227">
        <f t="shared" ca="1" si="4"/>
        <v>0</v>
      </c>
      <c r="AB14" s="228" t="str">
        <f t="shared" ca="1" si="5"/>
        <v>TinMetallic Resources, Inc.</v>
      </c>
    </row>
    <row r="15" spans="1:34" s="227" customFormat="1" ht="19.899999999999999" customHeight="1">
      <c r="A15" s="262"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19.899999999999999" customHeight="1">
      <c r="A16" s="262"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19.899999999999999" customHeight="1">
      <c r="A17" s="262" t="s">
        <v>774</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 ca="1">IF(C17="",NA(),IF(OR(C17="Smelter not listed",C17="Smelter not yet identified"),MATCH($B17&amp;$D17,'Smelter Look-up'!$J:$J,0),MATCH($B17&amp;$C17,'Smelter Look-up'!$J:$J,0)))</f>
        <v>471</v>
      </c>
      <c r="X17" s="227">
        <f t="shared" ca="1" si="4"/>
        <v>0</v>
      </c>
      <c r="AB17" s="228" t="str">
        <f t="shared" ca="1" si="5"/>
        <v>TinMitsubishi Materials Corporation</v>
      </c>
    </row>
    <row r="18" spans="1:28" s="227" customFormat="1" ht="19.899999999999999" customHeight="1">
      <c r="A18" s="181" t="s">
        <v>1788</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 ca="1">IF(C18="",NA(),IF(OR(C18="Smelter not listed",C18="Smelter not yet identified"),MATCH($B18&amp;$D18,'Smelter Look-up'!$J:$J,0),MATCH($B18&amp;$C18,'Smelter Look-up'!$J:$J,0)))</f>
        <v>450</v>
      </c>
      <c r="X18" s="227">
        <f t="shared" ca="1" si="4"/>
        <v>0</v>
      </c>
      <c r="AB18" s="228" t="str">
        <f t="shared" ca="1" si="5"/>
        <v>TinJiangxi New Nanshan Technology Ltd.</v>
      </c>
    </row>
    <row r="19" spans="1:28" s="227" customFormat="1" ht="54">
      <c r="A19" s="181" t="s">
        <v>777</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Operaciones Metalurgicas S.A.</v>
      </c>
      <c r="S19" s="181" t="str">
        <f t="shared" ca="1" si="3"/>
        <v>BO</v>
      </c>
      <c r="T19" s="181" t="str">
        <f ca="1">IF(B19="","",IF(ISERROR(MATCH($J19,SorP!$B$1:$B$6279,0)),"",INDIRECT("'SorP'!$A$"&amp;MATCH($S19&amp;$J19,SorP!C:C,0))))</f>
        <v>BO-O</v>
      </c>
      <c r="U19" s="201"/>
      <c r="V19" s="226">
        <f ca="1">IF(C19="",NA(),IF(OR(C19="Smelter not listed",C19="Smelter not yet identified"),MATCH($B19&amp;$D19,'Smelter Look-up'!$J:$J,0),MATCH($B19&amp;$C19,'Smelter Look-up'!$J:$J,0)))</f>
        <v>482</v>
      </c>
      <c r="X19" s="227">
        <f t="shared" ca="1" si="4"/>
        <v>0</v>
      </c>
      <c r="AB19" s="228" t="str">
        <f t="shared" ca="1" si="5"/>
        <v>TinOperaciones Metalurgicas S.A.</v>
      </c>
    </row>
    <row r="20" spans="1:28" s="227" customFormat="1" ht="67.5">
      <c r="A20" s="181" t="s">
        <v>778</v>
      </c>
      <c r="B20" s="182" t="str">
        <f ca="1">IF(LEN(A20)=0,"",INDEX('Smelter Look-up'!$A:$A,MATCH($A20,'Smelter Look-up'!$E:$E,0)))</f>
        <v>Tin</v>
      </c>
      <c r="C20" s="186" t="str">
        <f ca="1">IF(LEN(A20)=0,"",INDEX('Smelter Look-up'!$C:$C,MATCH($A20,'Smelter Look-up'!$E:$E,0)))</f>
        <v>PT Artha Cipta Langgeng</v>
      </c>
      <c r="D20" s="230"/>
      <c r="E20" s="182" t="str">
        <f ca="1">IF(ISERROR($V20),"",OFFSET('Smelter Look-up'!$D$4,$V20-4,0)&amp;"")</f>
        <v>INDONESIA</v>
      </c>
      <c r="F20" s="182" t="str">
        <f ca="1">IF(ISERROR($V20),"",OFFSET('Smelter Look-up'!$E$4,$V20-4,0))</f>
        <v>CID001399</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Artha Cipta Langgeng</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487</v>
      </c>
      <c r="X20" s="227">
        <f t="shared" ca="1" si="4"/>
        <v>0</v>
      </c>
      <c r="AB20" s="228" t="str">
        <f t="shared" ca="1" si="5"/>
        <v>TinPT Artha Cipta Langgeng</v>
      </c>
    </row>
    <row r="21" spans="1:28" s="227" customFormat="1" ht="54">
      <c r="A21" s="181" t="s">
        <v>15479</v>
      </c>
      <c r="B21" s="182" t="str">
        <f ca="1">IF(LEN(A21)=0,"",INDEX('Smelter Look-up'!$A:$A,MATCH($A21,'Smelter Look-up'!$E:$E,0)))</f>
        <v>Tin</v>
      </c>
      <c r="C21" s="186" t="str">
        <f ca="1">IF(LEN(A21)=0,"",INDEX('Smelter Look-up'!$C:$C,MATCH($A21,'Smelter Look-up'!$E:$E,0)))</f>
        <v>PT Babel Inti Perkasa</v>
      </c>
      <c r="D21" s="230"/>
      <c r="E21" s="182" t="str">
        <f ca="1">IF(ISERROR($V21),"",OFFSET('Smelter Look-up'!$D$4,$V21-4,0)&amp;"")</f>
        <v>INDONESIA</v>
      </c>
      <c r="F21" s="182" t="str">
        <f ca="1">IF(ISERROR($V21),"",OFFSET('Smelter Look-up'!$E$4,$V21-4,0))</f>
        <v>CID001402</v>
      </c>
      <c r="G21" s="182" t="str">
        <f ca="1">IF(C21=$X$4,IF(ISERROR($V21),"Enter smelter details","RMI"),IF(ISERROR($V21),"",OFFSET('Smelter Look-up'!$F$4,$V21-4,0)))</f>
        <v>RMI</v>
      </c>
      <c r="H21" s="183">
        <f ca="1">IF(ISERROR($V21),"",OFFSET('Smelter Look-up'!$G$4,$V21-4,0))</f>
        <v>0</v>
      </c>
      <c r="I21" s="184" t="str">
        <f ca="1">IF(ISERROR($V21),"",OFFSET('Smelter Look-up'!$H$4,$V21-4,0))</f>
        <v>Lintang</v>
      </c>
      <c r="J21" s="184" t="str">
        <f ca="1">IF(ISERROR($V21),"",OFFSET('Smelter Look-up'!$I$4,$V21-4,0))</f>
        <v>Kepulauan Bangka Belitung</v>
      </c>
      <c r="K21" s="224"/>
      <c r="L21" s="224"/>
      <c r="M21" s="224"/>
      <c r="N21" s="224"/>
      <c r="O21" s="224"/>
      <c r="P21" s="185"/>
      <c r="Q21" s="225"/>
      <c r="R21" s="182" t="str">
        <f ca="1">IF(ISERROR($V21),"",OFFSET('Smelter Look-up'!$C$4,$V21-4,0)&amp;"")</f>
        <v>PT Babel Inti Perkasa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489</v>
      </c>
      <c r="X21" s="227">
        <f t="shared" ca="1" si="4"/>
        <v>0</v>
      </c>
      <c r="AB21" s="228" t="str">
        <f t="shared" ca="1" si="5"/>
        <v>TinPT Babel Inti Perkasa</v>
      </c>
    </row>
    <row r="22" spans="1:28" s="227" customFormat="1" ht="67.5">
      <c r="A22" s="181" t="s">
        <v>15108</v>
      </c>
      <c r="B22" s="182" t="str">
        <f ca="1">IF(LEN(A22)=0,"",INDEX('Smelter Look-up'!$A:$A,MATCH($A22,'Smelter Look-up'!$E:$E,0)))</f>
        <v>Tin</v>
      </c>
      <c r="C22" s="186" t="str">
        <f ca="1">IF(LEN(A22)=0,"",INDEX('Smelter Look-up'!$C:$C,MATCH($A22,'Smelter Look-up'!$E:$E,0)))</f>
        <v>PT Babel Surya Alam Lestari</v>
      </c>
      <c r="D22" s="230"/>
      <c r="E22" s="182" t="str">
        <f ca="1">IF(ISERROR($V22),"",OFFSET('Smelter Look-up'!$D$4,$V22-4,0)&amp;"")</f>
        <v>INDONESIA</v>
      </c>
      <c r="F22" s="182" t="str">
        <f ca="1">IF(ISERROR($V22),"",OFFSET('Smelter Look-up'!$E$4,$V22-4,0))</f>
        <v>CID001406</v>
      </c>
      <c r="G22" s="182" t="str">
        <f ca="1">IF(C22=$X$4,IF(ISERROR($V22),"Enter smelter details","RMI"),IF(ISERROR($V22),"",OFFSET('Smelter Look-up'!$F$4,$V22-4,0)))</f>
        <v>RMI</v>
      </c>
      <c r="H22" s="183">
        <f ca="1">IF(ISERROR($V22),"",OFFSET('Smelter Look-up'!$G$4,$V22-4,0))</f>
        <v>0</v>
      </c>
      <c r="I22" s="184" t="str">
        <f ca="1">IF(ISERROR($V22),"",OFFSET('Smelter Look-up'!$H$4,$V22-4,0))</f>
        <v>Badau</v>
      </c>
      <c r="J22" s="184" t="str">
        <f ca="1">IF(ISERROR($V22),"",OFFSET('Smelter Look-up'!$I$4,$V22-4,0))</f>
        <v>Kepulauan Bangka Belitung</v>
      </c>
      <c r="K22" s="224"/>
      <c r="L22" s="224"/>
      <c r="M22" s="224"/>
      <c r="N22" s="224"/>
      <c r="O22" s="224"/>
      <c r="P22" s="185"/>
      <c r="Q22" s="225"/>
      <c r="R22" s="182" t="str">
        <f ca="1">IF(ISERROR($V22),"",OFFSET('Smelter Look-up'!$C$4,$V22-4,0)&amp;"")</f>
        <v>PT Babel Surya Alam Lestari</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490</v>
      </c>
      <c r="X22" s="227">
        <f t="shared" ca="1" si="4"/>
        <v>0</v>
      </c>
      <c r="AB22" s="228" t="str">
        <f t="shared" ca="1" si="5"/>
        <v>TinPT Babel Surya Alam Lestari</v>
      </c>
    </row>
    <row r="23" spans="1:28" s="227" customFormat="1" ht="40.5">
      <c r="A23" s="181" t="s">
        <v>15471</v>
      </c>
      <c r="B23" s="182" t="str">
        <f ca="1">IF(LEN(A23)=0,"",INDEX('Smelter Look-up'!$A:$A,MATCH($A23,'Smelter Look-up'!$E:$E,0)))</f>
        <v>Tin</v>
      </c>
      <c r="C23" s="186" t="str">
        <f ca="1">IF(LEN(A23)=0,"",INDEX('Smelter Look-up'!$C:$C,MATCH($A23,'Smelter Look-up'!$E:$E,0)))</f>
        <v>PT Bukit Timah</v>
      </c>
      <c r="D23" s="230"/>
      <c r="E23" s="182" t="str">
        <f ca="1">IF(ISERROR($V23),"",OFFSET('Smelter Look-up'!$D$4,$V23-4,0)&amp;"")</f>
        <v>INDONESIA</v>
      </c>
      <c r="F23" s="182" t="str">
        <f ca="1">IF(ISERROR($V23),"",OFFSET('Smelter Look-up'!$E$4,$V23-4,0))</f>
        <v>CID001428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Bukit Timah</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495</v>
      </c>
      <c r="X23" s="227">
        <f t="shared" ca="1" si="4"/>
        <v>0</v>
      </c>
      <c r="AB23" s="228" t="str">
        <f t="shared" ca="1" si="5"/>
        <v>TinPT Bukit Timah</v>
      </c>
    </row>
    <row r="24" spans="1:28" s="227" customFormat="1" ht="54">
      <c r="A24" s="181" t="s">
        <v>779</v>
      </c>
      <c r="B24" s="182" t="str">
        <f ca="1">IF(LEN(A24)=0,"",INDEX('Smelter Look-up'!$A:$A,MATCH($A24,'Smelter Look-up'!$E:$E,0)))</f>
        <v>Tin</v>
      </c>
      <c r="C24" s="186" t="str">
        <f ca="1">IF(LEN(A24)=0,"",INDEX('Smelter Look-up'!$C:$C,MATCH($A24,'Smelter Look-up'!$E:$E,0)))</f>
        <v>PT Mitra Stania Prima</v>
      </c>
      <c r="D24" s="230"/>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Mitra Stania Prima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500</v>
      </c>
      <c r="X24" s="227">
        <f t="shared" ca="1" si="4"/>
        <v>0</v>
      </c>
      <c r="AB24" s="228" t="str">
        <f t="shared" ca="1" si="5"/>
        <v>TinPT Mitra Stania Prima</v>
      </c>
    </row>
    <row r="25" spans="1:28" s="227" customFormat="1" ht="54">
      <c r="A25" s="181" t="s">
        <v>15112</v>
      </c>
      <c r="B25" s="182" t="str">
        <f ca="1">IF(LEN(A25)=0,"",INDEX('Smelter Look-up'!$A:$A,MATCH($A25,'Smelter Look-up'!$E:$E,0)))</f>
        <v>Tin</v>
      </c>
      <c r="C25" s="186" t="str">
        <f ca="1">IF(LEN(A25)=0,"",INDEX('Smelter Look-up'!$C:$C,MATCH($A25,'Smelter Look-up'!$E:$E,0)))</f>
        <v>PT Prima Timah Utama</v>
      </c>
      <c r="D25" s="230"/>
      <c r="E25" s="182" t="str">
        <f ca="1">IF(ISERROR($V25),"",OFFSET('Smelter Look-up'!$D$4,$V25-4,0)&amp;"")</f>
        <v>INDONESIA</v>
      </c>
      <c r="F25" s="182" t="str">
        <f ca="1">IF(ISERROR($V25),"",OFFSET('Smelter Look-up'!$E$4,$V25-4,0))</f>
        <v>CID001458</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Prima Timah Utama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504</v>
      </c>
      <c r="X25" s="227">
        <f t="shared" ca="1" si="4"/>
        <v>0</v>
      </c>
      <c r="AB25" s="228" t="str">
        <f t="shared" ca="1" si="5"/>
        <v>TinPT Prima Timah Utama</v>
      </c>
    </row>
    <row r="26" spans="1:28" s="227" customFormat="1" ht="54">
      <c r="A26" s="181" t="s">
        <v>780</v>
      </c>
      <c r="B26" s="182" t="str">
        <f ca="1">IF(LEN(A26)=0,"",INDEX('Smelter Look-up'!$A:$A,MATCH($A26,'Smelter Look-up'!$E:$E,0)))</f>
        <v>Tin</v>
      </c>
      <c r="C26" s="186" t="str">
        <f ca="1">IF(LEN(A26)=0,"",INDEX('Smelter Look-up'!$C:$C,MATCH($A26,'Smelter Look-up'!$E:$E,0)))</f>
        <v>PT Refined Bangka Tin</v>
      </c>
      <c r="D26" s="230"/>
      <c r="E26" s="182" t="str">
        <f ca="1">IF(ISERROR($V26),"",OFFSET('Smelter Look-up'!$D$4,$V26-4,0)&amp;"")</f>
        <v>INDONESIA</v>
      </c>
      <c r="F26" s="182" t="str">
        <f ca="1">IF(ISERROR($V26),"",OFFSET('Smelter Look-up'!$E$4,$V26-4,0))</f>
        <v>CID001460</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Refined Bangka Tin</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507</v>
      </c>
      <c r="X26" s="227">
        <f t="shared" ca="1" si="4"/>
        <v>0</v>
      </c>
      <c r="AB26" s="228" t="str">
        <f t="shared" ca="1" si="5"/>
        <v>TinPT Refined Bangka Tin</v>
      </c>
    </row>
    <row r="27" spans="1:28" s="227" customFormat="1" ht="67.5">
      <c r="A27" s="181" t="s">
        <v>15493</v>
      </c>
      <c r="B27" s="182" t="str">
        <f ca="1">IF(LEN(A27)=0,"",INDEX('Smelter Look-up'!$A:$A,MATCH($A27,'Smelter Look-up'!$E:$E,0)))</f>
        <v>Tin</v>
      </c>
      <c r="C27" s="186" t="str">
        <f ca="1">IF(LEN(A27)=0,"",INDEX('Smelter Look-up'!$C:$C,MATCH($A27,'Smelter Look-up'!$E:$E,0)))</f>
        <v>PT Sariwiguna Binasentosa</v>
      </c>
      <c r="D27" s="230"/>
      <c r="E27" s="182" t="str">
        <f ca="1">IF(ISERROR($V27),"",OFFSET('Smelter Look-up'!$D$4,$V27-4,0)&amp;"")</f>
        <v>INDONESIA</v>
      </c>
      <c r="F27" s="182" t="str">
        <f ca="1">IF(ISERROR($V27),"",OFFSET('Smelter Look-up'!$E$4,$V27-4,0))</f>
        <v>CID001463</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Sariwiguna Binasentosa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508</v>
      </c>
      <c r="X27" s="227">
        <f t="shared" ca="1" si="4"/>
        <v>0</v>
      </c>
      <c r="AB27" s="228" t="str">
        <f t="shared" ca="1" si="5"/>
        <v>TinPT Sariwiguna Binasentosa</v>
      </c>
    </row>
    <row r="28" spans="1:28" s="227" customFormat="1" ht="54">
      <c r="A28" s="181" t="s">
        <v>15116</v>
      </c>
      <c r="B28" s="182" t="str">
        <f ca="1">IF(LEN(A28)=0,"",INDEX('Smelter Look-up'!$A:$A,MATCH($A28,'Smelter Look-up'!$E:$E,0)))</f>
        <v>Tin</v>
      </c>
      <c r="C28" s="186" t="str">
        <f ca="1">IF(LEN(A28)=0,"",INDEX('Smelter Look-up'!$C:$C,MATCH($A28,'Smelter Look-up'!$E:$E,0)))</f>
        <v>PT Stanindo Inti Perkasa</v>
      </c>
      <c r="D28" s="230"/>
      <c r="E28" s="182" t="str">
        <f ca="1">IF(ISERROR($V28),"",OFFSET('Smelter Look-up'!$D$4,$V28-4,0)&amp;"")</f>
        <v>INDONESIA</v>
      </c>
      <c r="F28" s="182" t="str">
        <f ca="1">IF(ISERROR($V28),"",OFFSET('Smelter Look-up'!$E$4,$V28-4,0))</f>
        <v>CID001468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Stanindo Inti Perkasa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509</v>
      </c>
      <c r="X28" s="227">
        <f t="shared" ca="1" si="4"/>
        <v>0</v>
      </c>
      <c r="AB28" s="228" t="str">
        <f t="shared" ca="1" si="5"/>
        <v>TinPT Stanindo Inti Perkasa</v>
      </c>
    </row>
    <row r="29" spans="1:28" s="227" customFormat="1" ht="54">
      <c r="A29" s="181" t="s">
        <v>800</v>
      </c>
      <c r="B29" s="182" t="str">
        <f ca="1">IF(LEN(A29)=0,"",INDEX('Smelter Look-up'!$A:$A,MATCH($A29,'Smelter Look-up'!$E:$E,0)))</f>
        <v>Tin</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c r="R29" s="182" t="str">
        <f ca="1">IF(ISERROR($V29),"",OFFSET('Smelter Look-up'!$C$4,$V29-4,0)&amp;"")</f>
        <v>PT Timah Tbk Kundur</v>
      </c>
      <c r="S29" s="181" t="str">
        <f t="shared" ca="1" si="3"/>
        <v>ID</v>
      </c>
      <c r="T29" s="181" t="str">
        <f ca="1">IF(B29="","",IF(ISERROR(MATCH($J29,SorP!$B$1:$B$6279,0)),"",INDIRECT("'SorP'!$A$"&amp;MATCH($S29&amp;$J29,SorP!C:C,0))))</f>
        <v>ID-RI</v>
      </c>
      <c r="U29" s="201"/>
      <c r="V29" s="226">
        <f ca="1">IF(C29="",NA(),IF(OR(C29="Smelter not listed",C29="Smelter not yet identified"),MATCH($B29&amp;$D29,'Smelter Look-up'!$J:$J,0),MATCH($B29&amp;$C29,'Smelter Look-up'!$J:$J,0)))</f>
        <v>513</v>
      </c>
      <c r="X29" s="227">
        <f t="shared" ca="1" si="4"/>
        <v>0</v>
      </c>
      <c r="AB29" s="228" t="str">
        <f t="shared" ca="1" si="5"/>
        <v>TinPT Timah Tbk Kundur</v>
      </c>
    </row>
    <row r="30" spans="1:28" s="227" customFormat="1" ht="54">
      <c r="A30" s="181" t="s">
        <v>781</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514</v>
      </c>
      <c r="X30" s="227">
        <f t="shared" ca="1" si="4"/>
        <v>0</v>
      </c>
      <c r="AB30" s="228" t="str">
        <f t="shared" ca="1" si="5"/>
        <v>TinPT Timah Tbk Mentok</v>
      </c>
    </row>
    <row r="31" spans="1:28" s="227" customFormat="1" ht="27">
      <c r="A31" s="181" t="s">
        <v>783</v>
      </c>
      <c r="B31" s="182" t="str">
        <f ca="1">IF(LEN(A31)=0,"",INDEX('Smelter Look-up'!$A:$A,MATCH($A31,'Smelter Look-up'!$E:$E,0)))</f>
        <v>Tin</v>
      </c>
      <c r="C31" s="186" t="str">
        <f ca="1">IF(LEN(A31)=0,"",INDEX('Smelter Look-up'!$C:$C,MATCH($A31,'Smelter Look-up'!$E:$E,0)))</f>
        <v>Rui Da Hung</v>
      </c>
      <c r="D31" s="230"/>
      <c r="E31" s="182" t="str">
        <f ca="1">IF(ISERROR($V31),"",OFFSET('Smelter Look-up'!$D$4,$V31-4,0)&amp;"")</f>
        <v>TAIWAN, PROVINCE OF CHINA</v>
      </c>
      <c r="F31" s="182" t="str">
        <f ca="1">IF(ISERROR($V31),"",OFFSET('Smelter Look-up'!$E$4,$V31-4,0))</f>
        <v>CID001539</v>
      </c>
      <c r="G31" s="182" t="str">
        <f ca="1">IF(C31=$X$4,IF(ISERROR($V31),"Enter smelter details","RMI"),IF(ISERROR($V31),"",OFFSET('Smelter Look-up'!$F$4,$V31-4,0)))</f>
        <v>RMI</v>
      </c>
      <c r="H31" s="183">
        <f ca="1">IF(ISERROR($V31),"",OFFSET('Smelter Look-up'!$G$4,$V31-4,0))</f>
        <v>0</v>
      </c>
      <c r="I31" s="184" t="str">
        <f ca="1">IF(ISERROR($V31),"",OFFSET('Smelter Look-up'!$H$4,$V31-4,0))</f>
        <v>Longtan Shiang Taoyuan</v>
      </c>
      <c r="J31" s="184" t="str">
        <f ca="1">IF(ISERROR($V31),"",OFFSET('Smelter Look-up'!$I$4,$V31-4,0))</f>
        <v>Taoyuan</v>
      </c>
      <c r="K31" s="224"/>
      <c r="L31" s="224"/>
      <c r="M31" s="224"/>
      <c r="N31" s="224"/>
      <c r="O31" s="224"/>
      <c r="P31" s="185"/>
      <c r="Q31" s="225"/>
      <c r="R31" s="182" t="str">
        <f ca="1">IF(ISERROR($V31),"",OFFSET('Smelter Look-up'!$C$4,$V31-4,0)&amp;"")</f>
        <v>Rui Da Hung</v>
      </c>
      <c r="S31" s="181" t="str">
        <f t="shared" ca="1" si="3"/>
        <v>TW</v>
      </c>
      <c r="T31" s="181" t="str">
        <f ca="1">IF(B31="","",IF(ISERROR(MATCH($J31,SorP!$B$1:$B$6279,0)),"",INDIRECT("'SorP'!$A$"&amp;MATCH($S31&amp;$J31,SorP!C:C,0))))</f>
        <v>TW-TAO</v>
      </c>
      <c r="U31" s="201"/>
      <c r="V31" s="226">
        <f ca="1">IF(C31="",NA(),IF(OR(C31="Smelter not listed",C31="Smelter not yet identified"),MATCH($B31&amp;$D31,'Smelter Look-up'!$J:$J,0),MATCH($B31&amp;$C31,'Smelter Look-up'!$J:$J,0)))</f>
        <v>521</v>
      </c>
      <c r="X31" s="227">
        <f t="shared" ca="1" si="4"/>
        <v>0</v>
      </c>
      <c r="AB31" s="228" t="str">
        <f t="shared" ca="1" si="5"/>
        <v>TinRui Da Hung</v>
      </c>
    </row>
    <row r="32" spans="1:28" s="227" customFormat="1" ht="27">
      <c r="A32" s="181" t="s">
        <v>784</v>
      </c>
      <c r="B32" s="182" t="str">
        <f ca="1">IF(LEN(A32)=0,"",INDEX('Smelter Look-up'!$A:$A,MATCH($A32,'Smelter Look-up'!$E:$E,0)))</f>
        <v>Tin</v>
      </c>
      <c r="C32" s="186" t="str">
        <f ca="1">IF(LEN(A32)=0,"",INDEX('Smelter Look-up'!$C:$C,MATCH($A32,'Smelter Look-up'!$E:$E,0)))</f>
        <v>Thaisarco</v>
      </c>
      <c r="D32" s="230"/>
      <c r="E32" s="182" t="str">
        <f ca="1">IF(ISERROR($V32),"",OFFSET('Smelter Look-up'!$D$4,$V32-4,0)&amp;"")</f>
        <v>THAILAND</v>
      </c>
      <c r="F32" s="182" t="str">
        <f ca="1">IF(ISERROR($V32),"",OFFSET('Smelter Look-up'!$E$4,$V32-4,0))</f>
        <v>CID001898</v>
      </c>
      <c r="G32" s="182" t="str">
        <f ca="1">IF(C32=$X$4,IF(ISERROR($V32),"Enter smelter details","RMI"),IF(ISERROR($V32),"",OFFSET('Smelter Look-up'!$F$4,$V32-4,0)))</f>
        <v>RMI</v>
      </c>
      <c r="H32" s="183">
        <f ca="1">IF(ISERROR($V32),"",OFFSET('Smelter Look-up'!$G$4,$V32-4,0))</f>
        <v>0</v>
      </c>
      <c r="I32" s="184" t="str">
        <f ca="1">IF(ISERROR($V32),"",OFFSET('Smelter Look-up'!$H$4,$V32-4,0))</f>
        <v>Amphur Muang</v>
      </c>
      <c r="J32" s="184" t="str">
        <f ca="1">IF(ISERROR($V32),"",OFFSET('Smelter Look-up'!$I$4,$V32-4,0))</f>
        <v>Phuket</v>
      </c>
      <c r="K32" s="224"/>
      <c r="L32" s="224"/>
      <c r="M32" s="224"/>
      <c r="N32" s="224"/>
      <c r="O32" s="224"/>
      <c r="P32" s="185"/>
      <c r="Q32" s="225"/>
      <c r="R32" s="182" t="str">
        <f ca="1">IF(ISERROR($V32),"",OFFSET('Smelter Look-up'!$C$4,$V32-4,0)&amp;"")</f>
        <v>Thaisarco</v>
      </c>
      <c r="S32" s="181" t="str">
        <f t="shared" ca="1" si="3"/>
        <v>TH</v>
      </c>
      <c r="T32" s="181" t="str">
        <f ca="1">IF(B32="","",IF(ISERROR(MATCH($J32,SorP!$B$1:$B$6279,0)),"",INDIRECT("'SorP'!$A$"&amp;MATCH($S32&amp;$J32,SorP!C:C,0))))</f>
        <v>TH-83</v>
      </c>
      <c r="U32" s="201"/>
      <c r="V32" s="226">
        <f ca="1">IF(C32="",NA(),IF(OR(C32="Smelter not listed",C32="Smelter not yet identified"),MATCH($B32&amp;$D32,'Smelter Look-up'!$J:$J,0),MATCH($B32&amp;$C32,'Smelter Look-up'!$J:$J,0)))</f>
        <v>526</v>
      </c>
      <c r="X32" s="227">
        <f t="shared" ca="1" si="4"/>
        <v>0</v>
      </c>
      <c r="AB32" s="228" t="str">
        <f t="shared" ca="1" si="5"/>
        <v>TinThaisarco</v>
      </c>
    </row>
    <row r="33" spans="1:28" s="227" customFormat="1" ht="81">
      <c r="A33" s="181" t="s">
        <v>785</v>
      </c>
      <c r="B33" s="182" t="str">
        <f ca="1">IF(LEN(A33)=0,"",INDEX('Smelter Look-up'!$A:$A,MATCH($A33,'Smelter Look-up'!$E:$E,0)))</f>
        <v>Tin</v>
      </c>
      <c r="C33" s="186" t="str">
        <f ca="1">IF(LEN(A33)=0,"",INDEX('Smelter Look-up'!$C:$C,MATCH($A33,'Smelter Look-up'!$E:$E,0)))</f>
        <v>White Solder Metalurgia e Mineracao Ltda.</v>
      </c>
      <c r="D33" s="230"/>
      <c r="E33" s="182" t="str">
        <f ca="1">IF(ISERROR($V33),"",OFFSET('Smelter Look-up'!$D$4,$V33-4,0)&amp;"")</f>
        <v>BRAZIL</v>
      </c>
      <c r="F33" s="182" t="str">
        <f ca="1">IF(ISERROR($V33),"",OFFSET('Smelter Look-up'!$E$4,$V33-4,0))</f>
        <v>CID002036</v>
      </c>
      <c r="G33" s="182" t="str">
        <f ca="1">IF(C33=$X$4,IF(ISERROR($V33),"Enter smelter details","RMI"),IF(ISERROR($V33),"",OFFSET('Smelter Look-up'!$F$4,$V33-4,0)))</f>
        <v>RMI</v>
      </c>
      <c r="H33" s="183">
        <f ca="1">IF(ISERROR($V33),"",OFFSET('Smelter Look-up'!$G$4,$V33-4,0))</f>
        <v>0</v>
      </c>
      <c r="I33" s="184" t="str">
        <f ca="1">IF(ISERROR($V33),"",OFFSET('Smelter Look-up'!$H$4,$V33-4,0))</f>
        <v>Ariquemes</v>
      </c>
      <c r="J33" s="184" t="str">
        <f ca="1">IF(ISERROR($V33),"",OFFSET('Smelter Look-up'!$I$4,$V33-4,0))</f>
        <v>Rondônia</v>
      </c>
      <c r="K33" s="224"/>
      <c r="L33" s="224"/>
      <c r="M33" s="224"/>
      <c r="N33" s="224"/>
      <c r="O33" s="224"/>
      <c r="P33" s="185"/>
      <c r="Q33" s="225"/>
      <c r="R33" s="182" t="str">
        <f ca="1">IF(ISERROR($V33),"",OFFSET('Smelter Look-up'!$C$4,$V33-4,0)&amp;"")</f>
        <v>White Solder Metalurgia e Mineracao Ltda.</v>
      </c>
      <c r="S33" s="181" t="str">
        <f t="shared" ca="1" si="3"/>
        <v>BR</v>
      </c>
      <c r="T33" s="181" t="str">
        <f ca="1">IF(B33="","",IF(ISERROR(MATCH($J33,SorP!$B$1:$B$6279,0)),"",INDIRECT("'SorP'!$A$"&amp;MATCH($S33&amp;$J33,SorP!C:C,0))))</f>
        <v>BR-RO</v>
      </c>
      <c r="U33" s="201"/>
      <c r="V33" s="226">
        <f ca="1">IF(C33="",NA(),IF(OR(C33="Smelter not listed",C33="Smelter not yet identified"),MATCH($B33&amp;$D33,'Smelter Look-up'!$J:$J,0),MATCH($B33&amp;$C33,'Smelter Look-up'!$J:$J,0)))</f>
        <v>535</v>
      </c>
      <c r="X33" s="227">
        <f t="shared" ca="1" si="4"/>
        <v>0</v>
      </c>
      <c r="AB33" s="228" t="str">
        <f t="shared" ca="1" si="5"/>
        <v>TinWhite Solder Metalurgia e Mineracao Ltda.</v>
      </c>
    </row>
    <row r="34" spans="1:28" s="227" customFormat="1" ht="94.5">
      <c r="A34" s="181" t="s">
        <v>786</v>
      </c>
      <c r="B34" s="182" t="str">
        <f ca="1">IF(LEN(A34)=0,"",INDEX('Smelter Look-up'!$A:$A,MATCH($A34,'Smelter Look-up'!$E:$E,0)))</f>
        <v>Tin</v>
      </c>
      <c r="C34" s="186" t="str">
        <f ca="1">IF(LEN(A34)=0,"",INDEX('Smelter Look-up'!$C:$C,MATCH($A34,'Smelter Look-up'!$E:$E,0)))</f>
        <v>Yunnan Chengfeng Non-ferrous Metals Co., Ltd.</v>
      </c>
      <c r="D34" s="230"/>
      <c r="E34" s="182" t="str">
        <f ca="1">IF(ISERROR($V34),"",OFFSET('Smelter Look-up'!$D$4,$V34-4,0)&amp;"")</f>
        <v>CHINA</v>
      </c>
      <c r="F34" s="182" t="str">
        <f ca="1">IF(ISERROR($V34),"",OFFSET('Smelter Look-up'!$E$4,$V34-4,0))</f>
        <v>CID002158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Yunnan Chengfeng Non-ferrous Metals Co., Ltd.</v>
      </c>
      <c r="S34" s="181" t="str">
        <f t="shared" ca="1" si="3"/>
        <v>CN</v>
      </c>
      <c r="T34" s="181" t="str">
        <f ca="1">IF(B34="","",IF(ISERROR(MATCH($J34,SorP!$B$1:$B$6279,0)),"",INDIRECT("'SorP'!$A$"&amp;MATCH($S34&amp;$J34,SorP!C:C,0))))</f>
        <v>CN-YN</v>
      </c>
      <c r="U34" s="201"/>
      <c r="V34" s="226">
        <f ca="1">IF(C34="",NA(),IF(OR(C34="Smelter not listed",C34="Smelter not yet identified"),MATCH($B34&amp;$D34,'Smelter Look-up'!$J:$J,0),MATCH($B34&amp;$C34,'Smelter Look-up'!$J:$J,0)))</f>
        <v>543</v>
      </c>
      <c r="X34" s="227">
        <f t="shared" ca="1" si="4"/>
        <v>0</v>
      </c>
      <c r="AB34" s="228" t="str">
        <f t="shared" ca="1" si="5"/>
        <v>TinYunnan Chengfeng Non-ferrous Metals Co., Ltd.</v>
      </c>
    </row>
    <row r="35" spans="1:28" s="227" customFormat="1" ht="94.5">
      <c r="A35" s="181" t="s">
        <v>787</v>
      </c>
      <c r="B35" s="182" t="str">
        <f ca="1">IF(LEN(A35)=0,"",INDEX('Smelter Look-up'!$A:$A,MATCH($A35,'Smelter Look-up'!$E:$E,0)))</f>
        <v>Tin</v>
      </c>
      <c r="C35" s="186" t="str">
        <f ca="1">IF(LEN(A35)=0,"",INDEX('Smelter Look-up'!$C:$C,MATCH($A35,'Smelter Look-up'!$E:$E,0)))</f>
        <v>Tin Smelting Branch of Yunnan Tin Co., Ltd.</v>
      </c>
      <c r="D35" s="230"/>
      <c r="E35" s="182" t="str">
        <f ca="1">IF(ISERROR($V35),"",OFFSET('Smelter Look-up'!$D$4,$V35-4,0)&amp;"")</f>
        <v>CHINA</v>
      </c>
      <c r="F35" s="182" t="str">
        <f ca="1">IF(ISERROR($V35),"",OFFSET('Smelter Look-up'!$E$4,$V35-4,0))</f>
        <v>CID002180</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Tin Smelting Branch of Yunnan Tin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529</v>
      </c>
      <c r="X35" s="227">
        <f t="shared" ca="1" si="4"/>
        <v>0</v>
      </c>
      <c r="AB35" s="228" t="str">
        <f t="shared" ca="1" si="5"/>
        <v>TinTin Smelting Branch of Yunnan Tin Co., Ltd.</v>
      </c>
    </row>
    <row r="36" spans="1:28" s="227" customFormat="1" ht="67.5">
      <c r="A36" s="181" t="s">
        <v>1399</v>
      </c>
      <c r="B36" s="182" t="str">
        <f ca="1">IF(LEN(A36)=0,"",INDEX('Smelter Look-up'!$A:$A,MATCH($A36,'Smelter Look-up'!$E:$E,0)))</f>
        <v>Tin</v>
      </c>
      <c r="C36" s="186" t="str">
        <f ca="1">IF(LEN(A36)=0,"",INDEX('Smelter Look-up'!$C:$C,MATCH($A36,'Smelter Look-up'!$E:$E,0)))</f>
        <v>PT ATD Makmur Mandiri Jaya</v>
      </c>
      <c r="D36" s="230"/>
      <c r="E36" s="182" t="str">
        <f ca="1">IF(ISERROR($V36),"",OFFSET('Smelter Look-up'!$D$4,$V36-4,0)&amp;"")</f>
        <v>INDONESIA</v>
      </c>
      <c r="F36" s="182" t="str">
        <f ca="1">IF(ISERROR($V36),"",OFFSET('Smelter Look-up'!$E$4,$V36-4,0))</f>
        <v>CID002503</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ATD Makmur Mandiri Jaya</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488</v>
      </c>
      <c r="X36" s="227">
        <f t="shared" ca="1" si="4"/>
        <v>0</v>
      </c>
      <c r="AB36" s="228" t="str">
        <f t="shared" ca="1" si="5"/>
        <v>TinPT ATD Makmur Mandiri Jaya</v>
      </c>
    </row>
    <row r="37" spans="1:28" s="227" customFormat="1" ht="54">
      <c r="A37" s="181" t="s">
        <v>15484</v>
      </c>
      <c r="B37" s="182" t="str">
        <f ca="1">IF(LEN(A37)=0,"",INDEX('Smelter Look-up'!$A:$A,MATCH($A37,'Smelter Look-up'!$E:$E,0)))</f>
        <v>Tin</v>
      </c>
      <c r="C37" s="186" t="str">
        <f ca="1">IF(LEN(A37)=0,"",INDEX('Smelter Look-up'!$C:$C,MATCH($A37,'Smelter Look-up'!$E:$E,0)))</f>
        <v>PT Cipta Persada Mulia</v>
      </c>
      <c r="D37" s="230"/>
      <c r="E37" s="182" t="str">
        <f ca="1">IF(ISERROR($V37),"",OFFSET('Smelter Look-up'!$D$4,$V37-4,0)&amp;"")</f>
        <v>INDONESIA</v>
      </c>
      <c r="F37" s="182" t="str">
        <f ca="1">IF(ISERROR($V37),"",OFFSET('Smelter Look-up'!$E$4,$V37-4,0))</f>
        <v>CID002696</v>
      </c>
      <c r="G37" s="182" t="str">
        <f ca="1">IF(C37=$X$4,IF(ISERROR($V37),"Enter smelter details","RMI"),IF(ISERROR($V37),"",OFFSET('Smelter Look-up'!$F$4,$V37-4,0)))</f>
        <v>RMI</v>
      </c>
      <c r="H37" s="183">
        <f ca="1">IF(ISERROR($V37),"",OFFSET('Smelter Look-up'!$G$4,$V37-4,0))</f>
        <v>0</v>
      </c>
      <c r="I37" s="184" t="str">
        <f ca="1">IF(ISERROR($V37),"",OFFSET('Smelter Look-up'!$H$4,$V37-4,0))</f>
        <v>Batam</v>
      </c>
      <c r="J37" s="184" t="str">
        <f ca="1">IF(ISERROR($V37),"",OFFSET('Smelter Look-up'!$I$4,$V37-4,0))</f>
        <v>Kepulauan Riau</v>
      </c>
      <c r="K37" s="224"/>
      <c r="L37" s="224"/>
      <c r="M37" s="224"/>
      <c r="N37" s="224"/>
      <c r="O37" s="224"/>
      <c r="P37" s="185"/>
      <c r="Q37" s="225"/>
      <c r="R37" s="182" t="str">
        <f ca="1">IF(ISERROR($V37),"",OFFSET('Smelter Look-up'!$C$4,$V37-4,0)&amp;"")</f>
        <v>PT Cipta Persada Mulia</v>
      </c>
      <c r="S37" s="181" t="str">
        <f t="shared" ca="1" si="3"/>
        <v>ID</v>
      </c>
      <c r="T37" s="181" t="str">
        <f ca="1">IF(B37="","",IF(ISERROR(MATCH($J37,SorP!$B$1:$B$6279,0)),"",INDIRECT("'SorP'!$A$"&amp;MATCH($S37&amp;$J37,SorP!C:C,0))))</f>
        <v>ID-KR</v>
      </c>
      <c r="U37" s="201"/>
      <c r="V37" s="226">
        <f ca="1">IF(C37="",NA(),IF(OR(C37="Smelter not listed",C37="Smelter not yet identified"),MATCH($B37&amp;$D37,'Smelter Look-up'!$J:$J,0),MATCH($B37&amp;$C37,'Smelter Look-up'!$J:$J,0)))</f>
        <v>496</v>
      </c>
      <c r="X37" s="227">
        <f t="shared" ca="1" si="4"/>
        <v>0</v>
      </c>
      <c r="AB37" s="228" t="str">
        <f t="shared" ca="1" si="5"/>
        <v>TinPT Cipta Persada Mulia</v>
      </c>
    </row>
    <row r="38" spans="1:28" s="227" customFormat="1" ht="40.5">
      <c r="A38" s="181" t="s">
        <v>1815</v>
      </c>
      <c r="B38" s="182" t="str">
        <f ca="1">IF(LEN(A38)=0,"",INDEX('Smelter Look-up'!$A:$A,MATCH($A38,'Smelter Look-up'!$E:$E,0)))</f>
        <v>Tin</v>
      </c>
      <c r="C38" s="186" t="str">
        <f ca="1">IF(LEN(A38)=0,"",INDEX('Smelter Look-up'!$C:$C,MATCH($A38,'Smelter Look-up'!$E:$E,0)))</f>
        <v>Aurubis Beerse</v>
      </c>
      <c r="D38" s="230"/>
      <c r="E38" s="182" t="str">
        <f ca="1">IF(ISERROR($V38),"",OFFSET('Smelter Look-up'!$D$4,$V38-4,0)&amp;"")</f>
        <v>BELGIUM</v>
      </c>
      <c r="F38" s="182" t="str">
        <f ca="1">IF(ISERROR($V38),"",OFFSET('Smelter Look-up'!$E$4,$V38-4,0))</f>
        <v>CID002773</v>
      </c>
      <c r="G38" s="182" t="str">
        <f ca="1">IF(C38=$X$4,IF(ISERROR($V38),"Enter smelter details","RMI"),IF(ISERROR($V38),"",OFFSET('Smelter Look-up'!$F$4,$V38-4,0)))</f>
        <v>RMI</v>
      </c>
      <c r="H38" s="183">
        <f ca="1">IF(ISERROR($V38),"",OFFSET('Smelter Look-up'!$G$4,$V38-4,0))</f>
        <v>0</v>
      </c>
      <c r="I38" s="184" t="str">
        <f ca="1">IF(ISERROR($V38),"",OFFSET('Smelter Look-up'!$H$4,$V38-4,0))</f>
        <v>Beerse</v>
      </c>
      <c r="J38" s="184" t="str">
        <f ca="1">IF(ISERROR($V38),"",OFFSET('Smelter Look-up'!$I$4,$V38-4,0))</f>
        <v>Antwerpen</v>
      </c>
      <c r="K38" s="224"/>
      <c r="L38" s="224"/>
      <c r="M38" s="224"/>
      <c r="N38" s="224"/>
      <c r="O38" s="224"/>
      <c r="P38" s="185"/>
      <c r="Q38" s="225"/>
      <c r="R38" s="182" t="str">
        <f ca="1">IF(ISERROR($V38),"",OFFSET('Smelter Look-up'!$C$4,$V38-4,0)&amp;"")</f>
        <v>Aurubis Beerse</v>
      </c>
      <c r="S38" s="181" t="str">
        <f t="shared" ref="S38:S68" ca="1" si="6">IF(B38="","",IF(ISERROR(MATCH($E38,CL,0)),"Unknown",INDIRECT("'C'!$A$"&amp;MATCH($E38,CL,0)+1)))</f>
        <v>BE</v>
      </c>
      <c r="T38" s="181" t="str">
        <f ca="1">IF(B38="","",IF(ISERROR(MATCH($J38,SorP!$B$1:$B$6279,0)),"",INDIRECT("'SorP'!$A$"&amp;MATCH($S38&amp;$J38,SorP!C:C,0))))</f>
        <v>BE-VAN</v>
      </c>
      <c r="U38" s="201"/>
      <c r="V38" s="226">
        <f ca="1">IF(C38="",NA(),IF(OR(C38="Smelter not listed",C38="Smelter not yet identified"),MATCH($B38&amp;$D38,'Smelter Look-up'!$J:$J,0),MATCH($B38&amp;$C38,'Smelter Look-up'!$J:$J,0)))</f>
        <v>394</v>
      </c>
      <c r="X38" s="227">
        <f t="shared" ref="X38:X68" ca="1" si="7">IF(AND(C38="Smelter not listed",OR(LEN(D38)=0,LEN(E38)=0)),1,0)</f>
        <v>0</v>
      </c>
      <c r="AB38" s="228" t="str">
        <f t="shared" ref="AB38:AB68" ca="1" si="8">B38&amp;C38</f>
        <v>TinAurubis Beerse</v>
      </c>
    </row>
    <row r="39" spans="1:28" s="227" customFormat="1" ht="54">
      <c r="A39" s="181" t="s">
        <v>15495</v>
      </c>
      <c r="B39" s="182" t="str">
        <f ca="1">IF(LEN(A39)=0,"",INDEX('Smelter Look-up'!$A:$A,MATCH($A39,'Smelter Look-up'!$E:$E,0)))</f>
        <v>Tin</v>
      </c>
      <c r="C39" s="186" t="str">
        <f ca="1">IF(LEN(A39)=0,"",INDEX('Smelter Look-up'!$C:$C,MATCH($A39,'Smelter Look-up'!$E:$E,0)))</f>
        <v>PT Sukses Inti Makmur</v>
      </c>
      <c r="D39" s="230"/>
      <c r="E39" s="182" t="str">
        <f ca="1">IF(ISERROR($V39),"",OFFSET('Smelter Look-up'!$D$4,$V39-4,0)&amp;"")</f>
        <v>INDONESIA</v>
      </c>
      <c r="F39" s="182" t="str">
        <f ca="1">IF(ISERROR($V39),"",OFFSET('Smelter Look-up'!$E$4,$V39-4,0))</f>
        <v>CID002816</v>
      </c>
      <c r="G39" s="182" t="str">
        <f ca="1">IF(C39=$X$4,IF(ISERROR($V39),"Enter smelter details","RMI"),IF(ISERROR($V39),"",OFFSET('Smelter Look-up'!$F$4,$V39-4,0)))</f>
        <v>RMI</v>
      </c>
      <c r="H39" s="183">
        <f ca="1">IF(ISERROR($V39),"",OFFSET('Smelter Look-up'!$G$4,$V39-4,0))</f>
        <v>0</v>
      </c>
      <c r="I39" s="184" t="str">
        <f ca="1">IF(ISERROR($V39),"",OFFSET('Smelter Look-up'!$H$4,$V39-4,0))</f>
        <v>Belitung</v>
      </c>
      <c r="J39" s="184" t="str">
        <f ca="1">IF(ISERROR($V39),"",OFFSET('Smelter Look-up'!$I$4,$V39-4,0))</f>
        <v>Kepulauan Bangka Belitung</v>
      </c>
      <c r="K39" s="224"/>
      <c r="L39" s="224"/>
      <c r="M39" s="224"/>
      <c r="N39" s="224"/>
      <c r="O39" s="224"/>
      <c r="P39" s="185"/>
      <c r="Q39" s="225"/>
      <c r="R39" s="182" t="str">
        <f ca="1">IF(ISERROR($V39),"",OFFSET('Smelter Look-up'!$C$4,$V39-4,0)&amp;"")</f>
        <v>PT Sukses Inti Makmur</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510</v>
      </c>
      <c r="X39" s="227">
        <f t="shared" ca="1" si="7"/>
        <v>0</v>
      </c>
      <c r="AB39" s="228" t="str">
        <f t="shared" ca="1" si="8"/>
        <v>TinPT Sukses Inti Makmur</v>
      </c>
    </row>
    <row r="40" spans="1:28" s="227" customFormat="1" ht="94.5">
      <c r="A40" s="181" t="s">
        <v>15811</v>
      </c>
      <c r="B40" s="182" t="s">
        <v>1126</v>
      </c>
      <c r="C40" s="186" t="s">
        <v>15815</v>
      </c>
      <c r="D40" s="230"/>
      <c r="E40" s="182" t="s">
        <v>888</v>
      </c>
      <c r="F40" s="182" t="s">
        <v>15811</v>
      </c>
      <c r="G40" s="182" t="s">
        <v>13240</v>
      </c>
      <c r="H40" s="183">
        <v>0</v>
      </c>
      <c r="I40" s="184" t="s">
        <v>15816</v>
      </c>
      <c r="J40" s="184" t="s">
        <v>12134</v>
      </c>
      <c r="K40" s="224"/>
      <c r="L40" s="224"/>
      <c r="M40" s="224"/>
      <c r="N40" s="224"/>
      <c r="O40" s="224"/>
      <c r="P40" s="185"/>
      <c r="Q40" s="225"/>
      <c r="R40" s="182" t="str">
        <f ca="1">IF(ISERROR($V40),"",OFFSET('Smelter Look-up'!$C$4,$V40-4,0)&amp;"")</f>
        <v/>
      </c>
      <c r="S40" s="181" t="str">
        <f t="shared" ca="1" si="6"/>
        <v>VN</v>
      </c>
      <c r="T40" s="181" t="str">
        <f ca="1">IF(B40="","",IF(ISERROR(MATCH($J40,SorP!$B$1:$B$6279,0)),"",INDIRECT("'SorP'!$A$"&amp;MATCH($S40&amp;$J40,SorP!C:C,0))))</f>
        <v>VN-69</v>
      </c>
      <c r="U40" s="201"/>
      <c r="V40" s="226" t="e">
        <f>IF(C40="",NA(),IF(OR(C40="Smelter not listed",C40="Smelter not yet identified"),MATCH($B40&amp;$D40,'Smelter Look-up'!$J:$J,0),MATCH($B40&amp;$C40,'Smelter Look-up'!$J:$J,0)))</f>
        <v>#N/A</v>
      </c>
      <c r="X40" s="227">
        <f t="shared" si="7"/>
        <v>0</v>
      </c>
      <c r="AB40" s="228" t="str">
        <f t="shared" si="8"/>
        <v>TinThai Nguyen Mining and Metallurgy Co., Ltd.</v>
      </c>
    </row>
    <row r="41" spans="1:28" s="227" customFormat="1" ht="54">
      <c r="A41" s="181" t="s">
        <v>15110</v>
      </c>
      <c r="B41" s="182" t="str">
        <f ca="1">IF(LEN(A41)=0,"",INDEX('Smelter Look-up'!$A:$A,MATCH($A41,'Smelter Look-up'!$E:$E,0)))</f>
        <v>Tin</v>
      </c>
      <c r="C41" s="186" t="str">
        <f ca="1">IF(LEN(A41)=0,"",INDEX('Smelter Look-up'!$C:$C,MATCH($A41,'Smelter Look-up'!$E:$E,0)))</f>
        <v>PT Menara Cipta Mulia</v>
      </c>
      <c r="D41" s="230"/>
      <c r="E41" s="182" t="str">
        <f ca="1">IF(ISERROR($V41),"",OFFSET('Smelter Look-up'!$D$4,$V41-4,0)&amp;"")</f>
        <v>INDONESIA</v>
      </c>
      <c r="F41" s="182" t="str">
        <f ca="1">IF(ISERROR($V41),"",OFFSET('Smelter Look-up'!$E$4,$V41-4,0))</f>
        <v>CID002835</v>
      </c>
      <c r="G41" s="182" t="str">
        <f ca="1">IF(C41=$X$4,IF(ISERROR($V41),"Enter smelter details","RMI"),IF(ISERROR($V41),"",OFFSET('Smelter Look-up'!$F$4,$V41-4,0)))</f>
        <v>RMI</v>
      </c>
      <c r="H41" s="183">
        <f ca="1">IF(ISERROR($V41),"",OFFSET('Smelter Look-up'!$G$4,$V41-4,0))</f>
        <v>0</v>
      </c>
      <c r="I41" s="184" t="str">
        <f ca="1">IF(ISERROR($V41),"",OFFSET('Smelter Look-up'!$H$4,$V41-4,0))</f>
        <v>Mentawak</v>
      </c>
      <c r="J41" s="184" t="str">
        <f ca="1">IF(ISERROR($V41),"",OFFSET('Smelter Look-up'!$I$4,$V41-4,0))</f>
        <v>Kepulauan Bangka Belitung</v>
      </c>
      <c r="K41" s="224"/>
      <c r="L41" s="224"/>
      <c r="M41" s="224"/>
      <c r="N41" s="224"/>
      <c r="O41" s="224"/>
      <c r="P41" s="185"/>
      <c r="Q41" s="225"/>
      <c r="R41" s="182" t="str">
        <f ca="1">IF(ISERROR($V41),"",OFFSET('Smelter Look-up'!$C$4,$V41-4,0)&amp;"")</f>
        <v>PT Menara Cipta Mulia</v>
      </c>
      <c r="S41" s="181" t="str">
        <f t="shared" ca="1" si="6"/>
        <v>ID</v>
      </c>
      <c r="T41" s="181" t="str">
        <f ca="1">IF(B41="","",IF(ISERROR(MATCH($J41,SorP!$B$1:$B$6279,0)),"",INDIRECT("'SorP'!$A$"&amp;MATCH($S41&amp;$J41,SorP!C:C,0))))</f>
        <v>ID-BB</v>
      </c>
      <c r="U41" s="201"/>
      <c r="V41" s="226">
        <f ca="1">IF(C41="",NA(),IF(OR(C41="Smelter not listed",C41="Smelter not yet identified"),MATCH($B41&amp;$D41,'Smelter Look-up'!$J:$J,0),MATCH($B41&amp;$C41,'Smelter Look-up'!$J:$J,0)))</f>
        <v>499</v>
      </c>
      <c r="X41" s="227">
        <f t="shared" ca="1" si="7"/>
        <v>0</v>
      </c>
      <c r="AB41" s="228" t="str">
        <f t="shared" ca="1" si="8"/>
        <v>TinPT Menara Cipta Mulia</v>
      </c>
    </row>
    <row r="42" spans="1:28" s="227" customFormat="1" ht="94.5">
      <c r="A42" s="181" t="s">
        <v>2529</v>
      </c>
      <c r="B42" s="182" t="str">
        <f ca="1">IF(LEN(A42)=0,"",INDEX('Smelter Look-up'!$A:$A,MATCH($A42,'Smelter Look-up'!$E:$E,0)))</f>
        <v>Tin</v>
      </c>
      <c r="C42" s="186" t="str">
        <f ca="1">IF(LEN(A42)=0,"",INDEX('Smelter Look-up'!$C:$C,MATCH($A42,'Smelter Look-up'!$E:$E,0)))</f>
        <v>Guangdong Hanhe Non-Ferrous Metal Co., Ltd.</v>
      </c>
      <c r="D42" s="230"/>
      <c r="E42" s="182" t="str">
        <f ca="1">IF(ISERROR($V42),"",OFFSET('Smelter Look-up'!$D$4,$V42-4,0)&amp;"")</f>
        <v>CHINA</v>
      </c>
      <c r="F42" s="182" t="str">
        <f ca="1">IF(ISERROR($V42),"",OFFSET('Smelter Look-up'!$E$4,$V42-4,0))</f>
        <v>CID003116</v>
      </c>
      <c r="G42" s="182" t="str">
        <f ca="1">IF(C42=$X$4,IF(ISERROR($V42),"Enter smelter details","RMI"),IF(ISERROR($V42),"",OFFSET('Smelter Look-up'!$F$4,$V42-4,0)))</f>
        <v>RMI</v>
      </c>
      <c r="H42" s="183">
        <f ca="1">IF(ISERROR($V42),"",OFFSET('Smelter Look-up'!$G$4,$V42-4,0))</f>
        <v>0</v>
      </c>
      <c r="I42" s="184" t="str">
        <f ca="1">IF(ISERROR($V42),"",OFFSET('Smelter Look-up'!$H$4,$V42-4,0))</f>
        <v>Chaozhou</v>
      </c>
      <c r="J42" s="184" t="str">
        <f ca="1">IF(ISERROR($V42),"",OFFSET('Smelter Look-up'!$I$4,$V42-4,0))</f>
        <v>Guangdong Sheng</v>
      </c>
      <c r="K42" s="224"/>
      <c r="L42" s="224"/>
      <c r="M42" s="224"/>
      <c r="N42" s="224"/>
      <c r="O42" s="224"/>
      <c r="P42" s="185"/>
      <c r="Q42" s="225"/>
      <c r="R42" s="182" t="str">
        <f ca="1">IF(ISERROR($V42),"",OFFSET('Smelter Look-up'!$C$4,$V42-4,0)&amp;"")</f>
        <v>Guangdong Hanhe Non-Ferrous Metal Co., Ltd.</v>
      </c>
      <c r="S42" s="181" t="str">
        <f t="shared" ca="1" si="6"/>
        <v>CN</v>
      </c>
      <c r="T42" s="181" t="str">
        <f ca="1">IF(B42="","",IF(ISERROR(MATCH($J42,SorP!$B$1:$B$6279,0)),"",INDIRECT("'SorP'!$A$"&amp;MATCH($S42&amp;$J42,SorP!C:C,0))))</f>
        <v>CN-GD</v>
      </c>
      <c r="U42" s="201"/>
      <c r="V42" s="226">
        <f ca="1">IF(C42="",NA(),IF(OR(C42="Smelter not listed",C42="Smelter not yet identified"),MATCH($B42&amp;$D42,'Smelter Look-up'!$J:$J,0),MATCH($B42&amp;$C42,'Smelter Look-up'!$J:$J,0)))</f>
        <v>442</v>
      </c>
      <c r="X42" s="227">
        <f t="shared" ca="1" si="7"/>
        <v>0</v>
      </c>
      <c r="AB42" s="228" t="str">
        <f t="shared" ca="1" si="8"/>
        <v>TinGuangdong Hanhe Non-Ferrous Metal Co., Ltd.</v>
      </c>
    </row>
    <row r="43" spans="1:28" s="227" customFormat="1" ht="54">
      <c r="A43" s="181" t="s">
        <v>14029</v>
      </c>
      <c r="B43" s="182" t="str">
        <f ca="1">IF(LEN(A43)=0,"",INDEX('Smelter Look-up'!$A:$A,MATCH($A43,'Smelter Look-up'!$E:$E,0)))</f>
        <v>Tin</v>
      </c>
      <c r="C43" s="186" t="str">
        <f ca="1">IF(LEN(A43)=0,"",INDEX('Smelter Look-up'!$C:$C,MATCH($A43,'Smelter Look-up'!$E:$E,0)))</f>
        <v>PT Bangka Serumpun</v>
      </c>
      <c r="D43" s="230"/>
      <c r="E43" s="182" t="str">
        <f ca="1">IF(ISERROR($V43),"",OFFSET('Smelter Look-up'!$D$4,$V43-4,0)&amp;"")</f>
        <v>INDONESIA</v>
      </c>
      <c r="F43" s="182" t="str">
        <f ca="1">IF(ISERROR($V43),"",OFFSET('Smelter Look-up'!$E$4,$V43-4,0))</f>
        <v>CID003205</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Bangka Serumpun</v>
      </c>
      <c r="S43" s="181" t="str">
        <f t="shared" ca="1" si="6"/>
        <v>ID</v>
      </c>
      <c r="T43" s="181" t="str">
        <f ca="1">IF(B43="","",IF(ISERROR(MATCH($J43,SorP!$B$1:$B$6279,0)),"",INDIRECT("'SorP'!$A$"&amp;MATCH($S43&amp;$J43,SorP!C:C,0))))</f>
        <v>ID-BB</v>
      </c>
      <c r="U43" s="201"/>
      <c r="V43" s="226">
        <f ca="1">IF(C43="",NA(),IF(OR(C43="Smelter not listed",C43="Smelter not yet identified"),MATCH($B43&amp;$D43,'Smelter Look-up'!$J:$J,0),MATCH($B43&amp;$C43,'Smelter Look-up'!$J:$J,0)))</f>
        <v>492</v>
      </c>
      <c r="X43" s="227">
        <f t="shared" ca="1" si="7"/>
        <v>0</v>
      </c>
      <c r="AB43" s="228" t="str">
        <f t="shared" ca="1" si="8"/>
        <v>TinPT Bangka Serumpun</v>
      </c>
    </row>
    <row r="44" spans="1:28" s="227" customFormat="1" ht="54">
      <c r="A44" s="181" t="s">
        <v>13184</v>
      </c>
      <c r="B44" s="182" t="str">
        <f ca="1">IF(LEN(A44)=0,"",INDEX('Smelter Look-up'!$A:$A,MATCH($A44,'Smelter Look-up'!$E:$E,0)))</f>
        <v>Tin</v>
      </c>
      <c r="C44" s="186" t="str">
        <f ca="1">IF(LEN(A44)=0,"",INDEX('Smelter Look-up'!$C:$C,MATCH($A44,'Smelter Look-up'!$E:$E,0)))</f>
        <v>Tin Technology &amp; Refining</v>
      </c>
      <c r="D44" s="230"/>
      <c r="E44" s="182" t="str">
        <f ca="1">IF(ISERROR($V44),"",OFFSET('Smelter Look-up'!$D$4,$V44-4,0)&amp;"")</f>
        <v>UNITED STATES OF AMERICA</v>
      </c>
      <c r="F44" s="182" t="str">
        <f ca="1">IF(ISERROR($V44),"",OFFSET('Smelter Look-up'!$E$4,$V44-4,0))</f>
        <v>CID003325</v>
      </c>
      <c r="G44" s="182" t="str">
        <f ca="1">IF(C44=$X$4,IF(ISERROR($V44),"Enter smelter details","RMI"),IF(ISERROR($V44),"",OFFSET('Smelter Look-up'!$F$4,$V44-4,0)))</f>
        <v>RMI</v>
      </c>
      <c r="H44" s="183">
        <f ca="1">IF(ISERROR($V44),"",OFFSET('Smelter Look-up'!$G$4,$V44-4,0))</f>
        <v>0</v>
      </c>
      <c r="I44" s="184" t="str">
        <f ca="1">IF(ISERROR($V44),"",OFFSET('Smelter Look-up'!$H$4,$V44-4,0))</f>
        <v>West Chester</v>
      </c>
      <c r="J44" s="184" t="str">
        <f ca="1">IF(ISERROR($V44),"",OFFSET('Smelter Look-up'!$I$4,$V44-4,0))</f>
        <v>Pennsylvania</v>
      </c>
      <c r="K44" s="224"/>
      <c r="L44" s="224"/>
      <c r="M44" s="224"/>
      <c r="N44" s="224"/>
      <c r="O44" s="224"/>
      <c r="P44" s="185"/>
      <c r="Q44" s="225"/>
      <c r="R44" s="182" t="str">
        <f ca="1">IF(ISERROR($V44),"",OFFSET('Smelter Look-up'!$C$4,$V44-4,0)&amp;"")</f>
        <v>Tin Technology &amp; Refining</v>
      </c>
      <c r="S44" s="181" t="str">
        <f t="shared" ca="1" si="6"/>
        <v>US</v>
      </c>
      <c r="T44" s="181" t="str">
        <f ca="1">IF(B44="","",IF(ISERROR(MATCH($J44,SorP!$B$1:$B$6279,0)),"",INDIRECT("'SorP'!$A$"&amp;MATCH($S44&amp;$J44,SorP!C:C,0))))</f>
        <v>US-PA</v>
      </c>
      <c r="U44" s="201"/>
      <c r="V44" s="226">
        <f ca="1">IF(C44="",NA(),IF(OR(C44="Smelter not listed",C44="Smelter not yet identified"),MATCH($B44&amp;$D44,'Smelter Look-up'!$J:$J,0),MATCH($B44&amp;$C44,'Smelter Look-up'!$J:$J,0)))</f>
        <v>530</v>
      </c>
      <c r="X44" s="227">
        <f t="shared" ca="1" si="7"/>
        <v>0</v>
      </c>
      <c r="AB44" s="228" t="str">
        <f t="shared" ca="1" si="8"/>
        <v>TinTin Technology &amp; Refining</v>
      </c>
    </row>
    <row r="45" spans="1:28" s="227" customFormat="1" ht="67.5">
      <c r="A45" s="181" t="s">
        <v>15812</v>
      </c>
      <c r="B45" s="182" t="s">
        <v>1126</v>
      </c>
      <c r="C45" s="186" t="s">
        <v>15813</v>
      </c>
      <c r="D45" s="230"/>
      <c r="E45" s="182" t="s">
        <v>1096</v>
      </c>
      <c r="F45" s="182" t="s">
        <v>15812</v>
      </c>
      <c r="G45" s="182" t="s">
        <v>13240</v>
      </c>
      <c r="H45" s="183">
        <v>0</v>
      </c>
      <c r="I45" s="184" t="s">
        <v>15814</v>
      </c>
      <c r="J45" s="184" t="s">
        <v>13617</v>
      </c>
      <c r="K45" s="224"/>
      <c r="L45" s="224"/>
      <c r="M45" s="224"/>
      <c r="N45" s="224"/>
      <c r="O45" s="224"/>
      <c r="P45" s="185"/>
      <c r="Q45" s="225"/>
      <c r="R45" s="182" t="str">
        <f ca="1">IF(ISERROR($V45),"",OFFSET('Smelter Look-up'!$C$4,$V45-4,0)&amp;"")</f>
        <v/>
      </c>
      <c r="S45" s="181" t="str">
        <f t="shared" ca="1" si="6"/>
        <v>CN</v>
      </c>
      <c r="T45" s="181" t="str">
        <f ca="1">IF(B45="","",IF(ISERROR(MATCH($J45,SorP!$B$1:$B$6279,0)),"",INDIRECT("'SorP'!$A$"&amp;MATCH($S45&amp;$J45,SorP!C:C,0))))</f>
        <v>CN-AH</v>
      </c>
      <c r="U45" s="201"/>
      <c r="V45" s="226" t="e">
        <f>IF(C45="",NA(),IF(OR(C45="Smelter not listed",C45="Smelter not yet identified"),MATCH($B45&amp;$D45,'Smelter Look-up'!$J:$J,0),MATCH($B45&amp;$C45,'Smelter Look-up'!$J:$J,0)))</f>
        <v>#N/A</v>
      </c>
      <c r="X45" s="227">
        <f t="shared" si="7"/>
        <v>0</v>
      </c>
      <c r="AB45" s="228" t="str">
        <f t="shared" si="8"/>
        <v>TinMa'anshan Weitai Tin Co., Ltd.</v>
      </c>
    </row>
    <row r="46" spans="1:28" s="227" customFormat="1" ht="54">
      <c r="A46" s="181" t="s">
        <v>15114</v>
      </c>
      <c r="B46" s="182" t="str">
        <f ca="1">IF(LEN(A46)=0,"",INDEX('Smelter Look-up'!$A:$A,MATCH($A46,'Smelter Look-up'!$E:$E,0)))</f>
        <v>Tin</v>
      </c>
      <c r="C46" s="186" t="s">
        <v>15113</v>
      </c>
      <c r="D46" s="230"/>
      <c r="E46" s="182" t="str">
        <f ca="1">IF(ISERROR($V46),"",OFFSET('Smelter Look-up'!$D$4,$V46-4,0)&amp;"")</f>
        <v>INDONESIA</v>
      </c>
      <c r="F46" s="182" t="str">
        <f ca="1">IF(ISERROR($V46),"",OFFSET('Smelter Look-up'!$E$4,$V46-4,0))</f>
        <v>CID003381</v>
      </c>
      <c r="G46" s="182" t="str">
        <f ca="1">IF(C46=$X$4,IF(ISERROR($V46),"Enter smelter details","RMI"),IF(ISERROR($V46),"",OFFSET('Smelter Look-up'!$F$4,$V46-4,0)))</f>
        <v>RMI</v>
      </c>
      <c r="H46" s="183">
        <f ca="1">IF(ISERROR($V46),"",OFFSET('Smelter Look-up'!$G$4,$V46-4,0))</f>
        <v>0</v>
      </c>
      <c r="I46" s="184" t="str">
        <f ca="1">IF(ISERROR($V46),"",OFFSET('Smelter Look-up'!$H$4,$V46-4,0))</f>
        <v>Tukak Sadai</v>
      </c>
      <c r="J46" s="184" t="str">
        <f ca="1">IF(ISERROR($V46),"",OFFSET('Smelter Look-up'!$I$4,$V46-4,0))</f>
        <v>Kepulauan Bangka Belitung</v>
      </c>
      <c r="K46" s="224"/>
      <c r="L46" s="224"/>
      <c r="M46" s="224"/>
      <c r="N46" s="224"/>
      <c r="O46" s="224"/>
      <c r="P46" s="185"/>
      <c r="Q46" s="225"/>
      <c r="R46" s="182" t="str">
        <f ca="1">IF(ISERROR($V46),"",OFFSET('Smelter Look-up'!$C$4,$V46-4,0)&amp;"")</f>
        <v>PT Rajawali Rimba Perkasa</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506</v>
      </c>
      <c r="X46" s="227">
        <f t="shared" ca="1" si="7"/>
        <v>0</v>
      </c>
      <c r="AB46" s="228" t="str">
        <f t="shared" ca="1" si="8"/>
        <v>TinPT Rajawali Rimba Perkasa</v>
      </c>
    </row>
    <row r="47" spans="1:28" s="227" customFormat="1" ht="40.5">
      <c r="A47" s="181" t="s">
        <v>13867</v>
      </c>
      <c r="B47" s="182" t="str">
        <f ca="1">IF(LEN(A47)=0,"",INDEX('Smelter Look-up'!$A:$A,MATCH($A47,'Smelter Look-up'!$E:$E,0)))</f>
        <v>Tin</v>
      </c>
      <c r="C47" s="186" t="str">
        <f ca="1">IF(LEN(A47)=0,"",INDEX('Smelter Look-up'!$C:$C,MATCH($A47,'Smelter Look-up'!$E:$E,0)))</f>
        <v>Luna Smelter, Ltd.</v>
      </c>
      <c r="D47" s="230"/>
      <c r="E47" s="182" t="str">
        <f ca="1">IF(ISERROR($V47),"",OFFSET('Smelter Look-up'!$D$4,$V47-4,0)&amp;"")</f>
        <v>RWANDA</v>
      </c>
      <c r="F47" s="182" t="str">
        <f ca="1">IF(ISERROR($V47),"",OFFSET('Smelter Look-up'!$E$4,$V47-4,0))</f>
        <v>CID003387</v>
      </c>
      <c r="G47" s="182" t="str">
        <f ca="1">IF(C47=$X$4,IF(ISERROR($V47),"Enter smelter details","RMI"),IF(ISERROR($V47),"",OFFSET('Smelter Look-up'!$F$4,$V47-4,0)))</f>
        <v>RMI</v>
      </c>
      <c r="H47" s="183">
        <f ca="1">IF(ISERROR($V47),"",OFFSET('Smelter Look-up'!$G$4,$V47-4,0))</f>
        <v>0</v>
      </c>
      <c r="I47" s="184" t="str">
        <f ca="1">IF(ISERROR($V47),"",OFFSET('Smelter Look-up'!$H$4,$V47-4,0))</f>
        <v>Kigali</v>
      </c>
      <c r="J47" s="184" t="str">
        <f ca="1">IF(ISERROR($V47),"",OFFSET('Smelter Look-up'!$I$4,$V47-4,0))</f>
        <v>City of Kigali</v>
      </c>
      <c r="K47" s="224"/>
      <c r="L47" s="224"/>
      <c r="M47" s="224"/>
      <c r="N47" s="224"/>
      <c r="O47" s="224"/>
      <c r="P47" s="185"/>
      <c r="Q47" s="225"/>
      <c r="R47" s="182" t="str">
        <f ca="1">IF(ISERROR($V47),"",OFFSET('Smelter Look-up'!$C$4,$V47-4,0)&amp;"")</f>
        <v>Luna Smelter, Ltd.</v>
      </c>
      <c r="S47" s="181" t="str">
        <f t="shared" ca="1" si="6"/>
        <v>RW</v>
      </c>
      <c r="T47" s="181" t="str">
        <f ca="1">IF(B47="","",IF(ISERROR(MATCH($J47,SorP!$B$1:$B$6279,0)),"",INDIRECT("'SorP'!$A$"&amp;MATCH($S47&amp;$J47,SorP!C:C,0))))</f>
        <v>RW-01</v>
      </c>
      <c r="U47" s="201"/>
      <c r="V47" s="226">
        <f ca="1">IF(C47="",NA(),IF(OR(C47="Smelter not listed",C47="Smelter not yet identified"),MATCH($B47&amp;$D47,'Smelter Look-up'!$J:$J,0),MATCH($B47&amp;$C47,'Smelter Look-up'!$J:$J,0)))</f>
        <v>456</v>
      </c>
      <c r="X47" s="227">
        <f t="shared" ca="1" si="7"/>
        <v>0</v>
      </c>
      <c r="AB47" s="228" t="str">
        <f t="shared" ca="1" si="8"/>
        <v>TinLuna Smelter, Ltd.</v>
      </c>
    </row>
    <row r="48" spans="1:28" s="227" customFormat="1" ht="67.5">
      <c r="A48" s="181" t="s">
        <v>13868</v>
      </c>
      <c r="B48" s="182" t="str">
        <f ca="1">IF(LEN(A48)=0,"",INDEX('Smelter Look-up'!$A:$A,MATCH($A48,'Smelter Look-up'!$E:$E,0)))</f>
        <v>Tin</v>
      </c>
      <c r="C48" s="186" t="str">
        <f ca="1">IF(LEN(A48)=0,"",INDEX('Smelter Look-up'!$C:$C,MATCH($A48,'Smelter Look-up'!$E:$E,0)))</f>
        <v>PT Mitra Sukses Globalindo</v>
      </c>
      <c r="D48" s="230"/>
      <c r="E48" s="182" t="str">
        <f ca="1">IF(ISERROR($V48),"",OFFSET('Smelter Look-up'!$D$4,$V48-4,0)&amp;"")</f>
        <v>INDONESIA</v>
      </c>
      <c r="F48" s="182" t="str">
        <f ca="1">IF(ISERROR($V48),"",OFFSET('Smelter Look-up'!$E$4,$V48-4,0))</f>
        <v>CID003449</v>
      </c>
      <c r="G48" s="182" t="str">
        <f ca="1">IF(C48=$X$4,IF(ISERROR($V48),"Enter smelter details","RMI"),IF(ISERROR($V48),"",OFFSET('Smelter Look-up'!$F$4,$V48-4,0)))</f>
        <v>RMI</v>
      </c>
      <c r="H48" s="183">
        <f ca="1">IF(ISERROR($V48),"",OFFSET('Smelter Look-up'!$G$4,$V48-4,0))</f>
        <v>0</v>
      </c>
      <c r="I48" s="184" t="str">
        <f ca="1">IF(ISERROR($V48),"",OFFSET('Smelter Look-up'!$H$4,$V48-4,0))</f>
        <v>Pangkalpinang</v>
      </c>
      <c r="J48" s="184" t="str">
        <f ca="1">IF(ISERROR($V48),"",OFFSET('Smelter Look-up'!$I$4,$V48-4,0))</f>
        <v>Kepulauan Bangka Belitung</v>
      </c>
      <c r="K48" s="224"/>
      <c r="L48" s="224"/>
      <c r="M48" s="224"/>
      <c r="N48" s="224"/>
      <c r="O48" s="224"/>
      <c r="P48" s="185"/>
      <c r="Q48" s="225"/>
      <c r="R48" s="182" t="str">
        <f ca="1">IF(ISERROR($V48),"",OFFSET('Smelter Look-up'!$C$4,$V48-4,0)&amp;"")</f>
        <v>PT Mitra Sukses Globalindo</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501</v>
      </c>
      <c r="X48" s="227">
        <f t="shared" ca="1" si="7"/>
        <v>0</v>
      </c>
      <c r="AB48" s="228" t="str">
        <f t="shared" ca="1" si="8"/>
        <v>TinPT Mitra Sukses Globalindo</v>
      </c>
    </row>
    <row r="49" spans="1:28" s="227" customFormat="1" ht="108">
      <c r="A49" s="181" t="s">
        <v>15100</v>
      </c>
      <c r="B49" s="182" t="str">
        <f ca="1">IF(LEN(A49)=0,"",INDEX('Smelter Look-up'!$A:$A,MATCH($A49,'Smelter Look-up'!$E:$E,0)))</f>
        <v>Tin</v>
      </c>
      <c r="C49" s="186" t="str">
        <f ca="1">IF(LEN(A49)=0,"",INDEX('Smelter Look-up'!$C:$C,MATCH($A49,'Smelter Look-up'!$E:$E,0)))</f>
        <v>Fabrica Auricchio Industria e Comercio Ltda.</v>
      </c>
      <c r="D49" s="230"/>
      <c r="E49" s="182" t="str">
        <f ca="1">IF(ISERROR($V49),"",OFFSET('Smelter Look-up'!$D$4,$V49-4,0)&amp;"")</f>
        <v>BRAZIL</v>
      </c>
      <c r="F49" s="182" t="str">
        <f ca="1">IF(ISERROR($V49),"",OFFSET('Smelter Look-up'!$E$4,$V49-4,0))</f>
        <v>CID003582</v>
      </c>
      <c r="G49" s="182" t="str">
        <f ca="1">IF(C49=$X$4,IF(ISERROR($V49),"Enter smelter details","RMI"),IF(ISERROR($V49),"",OFFSET('Smelter Look-up'!$F$4,$V49-4,0)))</f>
        <v>RMI</v>
      </c>
      <c r="H49" s="183">
        <f ca="1">IF(ISERROR($V49),"",OFFSET('Smelter Look-up'!$G$4,$V49-4,0))</f>
        <v>0</v>
      </c>
      <c r="I49" s="184" t="str">
        <f ca="1">IF(ISERROR($V49),"",OFFSET('Smelter Look-up'!$H$4,$V49-4,0))</f>
        <v>Mogi das Cruzes</v>
      </c>
      <c r="J49" s="184" t="str">
        <f ca="1">IF(ISERROR($V49),"",OFFSET('Smelter Look-up'!$I$4,$V49-4,0))</f>
        <v>São Paulo</v>
      </c>
      <c r="K49" s="224"/>
      <c r="L49" s="224"/>
      <c r="M49" s="224"/>
      <c r="N49" s="224"/>
      <c r="O49" s="224"/>
      <c r="P49" s="185"/>
      <c r="Q49" s="225"/>
      <c r="R49" s="182" t="str">
        <f ca="1">IF(ISERROR($V49),"",OFFSET('Smelter Look-up'!$C$4,$V49-4,0)&amp;"")</f>
        <v>Fabrica Auricchio Industria e Comercio Ltda.</v>
      </c>
      <c r="S49" s="181" t="str">
        <f t="shared" ca="1" si="6"/>
        <v>BR</v>
      </c>
      <c r="T49" s="181" t="str">
        <f ca="1">IF(B49="","",IF(ISERROR(MATCH($J49,SorP!$B$1:$B$6279,0)),"",INDIRECT("'SorP'!$A$"&amp;MATCH($S49&amp;$J49,SorP!C:C,0))))</f>
        <v>BR-SP</v>
      </c>
      <c r="U49" s="201"/>
      <c r="V49" s="226">
        <f ca="1">IF(C49="",NA(),IF(OR(C49="Smelter not listed",C49="Smelter not yet identified"),MATCH($B49&amp;$D49,'Smelter Look-up'!$J:$J,0),MATCH($B49&amp;$C49,'Smelter Look-up'!$J:$J,0)))</f>
        <v>429</v>
      </c>
      <c r="X49" s="227">
        <f t="shared" ca="1" si="7"/>
        <v>0</v>
      </c>
      <c r="AB49" s="228" t="str">
        <f t="shared" ca="1" si="8"/>
        <v>TinFabrica Auricchio Industria e Comercio Ltda.</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BDAFCDC-94A3-4362-B6C2-179E73AEFF41}"/>
    </customSheetView>
  </customSheetViews>
  <mergeCells count="3">
    <mergeCell ref="J2:O2"/>
    <mergeCell ref="B3:E3"/>
    <mergeCell ref="G3:I3"/>
  </mergeCells>
  <conditionalFormatting sqref="B5:B2504">
    <cfRule type="expression" dxfId="37" priority="20" stopIfTrue="1">
      <formula>IF(B5="",TRUE)</formula>
    </cfRule>
    <cfRule type="expression" dxfId="36" priority="23" stopIfTrue="1">
      <formula>IF(AND(COUNTIF(MetalSmelter,B5&amp;C5)=0,LEN(C5)&gt;0),TRUE,FALSE)</formula>
    </cfRule>
  </conditionalFormatting>
  <conditionalFormatting sqref="C5:C39 C46:C2504 C41:C44">
    <cfRule type="expression" dxfId="35" priority="18" stopIfTrue="1">
      <formula>IF(AND(B5&lt;&gt;"",C5=""),TRUE)</formula>
    </cfRule>
  </conditionalFormatting>
  <conditionalFormatting sqref="D5:D39 D46:D2504 D41:D44">
    <cfRule type="expression" dxfId="34" priority="27" stopIfTrue="1">
      <formula>IF(AND(LEN($C5)&gt;0,AND($C5&lt;&gt;"Smelter Not Listed",ISBLANK($D5))),1,0)</formula>
    </cfRule>
    <cfRule type="expression" dxfId="33" priority="34" stopIfTrue="1">
      <formula>IF(AND(D5="",$C5=$X$4),TRUE)</formula>
    </cfRule>
    <cfRule type="expression" dxfId="32" priority="35" stopIfTrue="1">
      <formula>IF(FIND("!",D5),TRUE)</formula>
    </cfRule>
  </conditionalFormatting>
  <conditionalFormatting sqref="E5:E39 R5:R2504 E46:E2504 E41:E44">
    <cfRule type="expression" dxfId="31" priority="21" stopIfTrue="1">
      <formula>IF(AND(E5="",$C5=$X$4),TRUE)</formula>
    </cfRule>
    <cfRule type="expression" dxfId="30" priority="22" stopIfTrue="1">
      <formula>IF(FIND("!",E5),TRUE)</formula>
    </cfRule>
  </conditionalFormatting>
  <conditionalFormatting sqref="F5:F39 F46:F2504 F41:F44">
    <cfRule type="expression" dxfId="29" priority="19" stopIfTrue="1">
      <formula>IF(AND(LEN($A5)&gt;0,$A5&lt;&gt;$F5),TRUE,FALSE)</formula>
    </cfRule>
  </conditionalFormatting>
  <conditionalFormatting sqref="G5:G39 G46:G2504 G41:G44">
    <cfRule type="expression" dxfId="28" priority="36" stopIfTrue="1">
      <formula>IF(FIND("Enter smelter details",G5),TRUE)</formula>
    </cfRule>
  </conditionalFormatting>
  <conditionalFormatting sqref="E45">
    <cfRule type="expression" dxfId="27" priority="15" stopIfTrue="1">
      <formula>IF(AND(E45="",$C45=$X$4),TRUE)</formula>
    </cfRule>
    <cfRule type="expression" dxfId="26" priority="16" stopIfTrue="1">
      <formula>IF(FIND("!",E45),TRUE)</formula>
    </cfRule>
  </conditionalFormatting>
  <conditionalFormatting sqref="F45">
    <cfRule type="expression" dxfId="25" priority="14" stopIfTrue="1">
      <formula>IF(AND(LEN($A45)&gt;0,$A45&lt;&gt;$F45),TRUE,FALSE)</formula>
    </cfRule>
  </conditionalFormatting>
  <conditionalFormatting sqref="C45">
    <cfRule type="expression" dxfId="24" priority="13" stopIfTrue="1">
      <formula>IF(AND(B45&lt;&gt;"",C45=""),TRUE)</formula>
    </cfRule>
  </conditionalFormatting>
  <conditionalFormatting sqref="G45">
    <cfRule type="expression" dxfId="23" priority="12" stopIfTrue="1">
      <formula>IF(FIND("Enter smelter details",G45),TRUE)</formula>
    </cfRule>
  </conditionalFormatting>
  <conditionalFormatting sqref="D45">
    <cfRule type="expression" dxfId="22" priority="9" stopIfTrue="1">
      <formula>IF(AND(LEN($C45)&gt;0,AND($C45&lt;&gt;"Smelter Not Listed",ISBLANK($D45))),1,0)</formula>
    </cfRule>
    <cfRule type="expression" dxfId="21" priority="10" stopIfTrue="1">
      <formula>IF(AND(D45="",$C45=$X$4),TRUE)</formula>
    </cfRule>
    <cfRule type="expression" dxfId="20" priority="11" stopIfTrue="1">
      <formula>IF(FIND("!",D45),TRUE)</formula>
    </cfRule>
  </conditionalFormatting>
  <conditionalFormatting sqref="E40">
    <cfRule type="expression" dxfId="19" priority="7" stopIfTrue="1">
      <formula>IF(AND(E40="",$C40=$X$4),TRUE)</formula>
    </cfRule>
    <cfRule type="expression" dxfId="18" priority="8" stopIfTrue="1">
      <formula>IF(FIND("!",E40),TRUE)</formula>
    </cfRule>
  </conditionalFormatting>
  <conditionalFormatting sqref="F40">
    <cfRule type="expression" dxfId="17" priority="6" stopIfTrue="1">
      <formula>IF(AND(LEN($A40)&gt;0,$A40&lt;&gt;$F40),TRUE,FALSE)</formula>
    </cfRule>
  </conditionalFormatting>
  <conditionalFormatting sqref="C40">
    <cfRule type="expression" dxfId="16" priority="5" stopIfTrue="1">
      <formula>IF(AND(B40&lt;&gt;"",C40=""),TRUE)</formula>
    </cfRule>
  </conditionalFormatting>
  <conditionalFormatting sqref="G40">
    <cfRule type="expression" dxfId="15" priority="4" stopIfTrue="1">
      <formula>IF(FIND("Enter smelter details",G40),TRUE)</formula>
    </cfRule>
  </conditionalFormatting>
  <conditionalFormatting sqref="D40">
    <cfRule type="expression" dxfId="14" priority="1" stopIfTrue="1">
      <formula>IF(AND(LEN($C40)&gt;0,AND($C40&lt;&gt;"Smelter Not Listed",ISBLANK($D40))),1,0)</formula>
    </cfRule>
    <cfRule type="expression" dxfId="13" priority="2" stopIfTrue="1">
      <formula>IF(AND(D40="",$C40=$X$4),TRUE)</formula>
    </cfRule>
    <cfRule type="expression" dxfId="12" priority="3" stopIfTrue="1">
      <formula>IF(FIND("!",D40),TRUE)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Rogers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Advanced Electronics Solutions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Michal Werbecki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Michal.Werbecki@rogerscorporation.com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001-860-779-4765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Lary Schmid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Larry.Schmid@rogerscorp.com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http://www.rogerscorp.com/customer-support/index.aspx</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Bill Miles</cp:lastModifiedBy>
  <cp:lastPrinted>2015-04-21T20:47:43Z</cp:lastPrinted>
  <dcterms:created xsi:type="dcterms:W3CDTF">2010-06-21T21:00:23Z</dcterms:created>
  <dcterms:modified xsi:type="dcterms:W3CDTF">2023-06-16T20:41:04Z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2023-06-05T11:32:54Z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693fc59d-312b-4c7c-82ff-22a33a6aeef7</vt:lpwstr>
  </property>
  <property fmtid="{D5CDD505-2E9C-101B-9397-08002B2CF9AE}" pid="11" name="MSIP_Label_8a7e2e99-2a28-4cf4-bfb1-634d871c9cae_ContentBits">
    <vt:lpwstr>0</vt:lpwstr>
  </property>
</Properties>
</file>